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13_ncr:1_{93052003-E3CA-4047-98A0-7764C1249149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 Y SUS NOTAS" sheetId="29" r:id="rId1"/>
    <sheet name="ESTADO DE REND." sheetId="30" r:id="rId2"/>
    <sheet name="EST. CAMBIO" sheetId="32" r:id="rId3"/>
    <sheet name="EST. FLUJO" sheetId="33" r:id="rId4"/>
    <sheet name="EST. COMP." sheetId="34" r:id="rId5"/>
    <sheet name="Notas E. F. 1-6" sheetId="38" r:id="rId6"/>
    <sheet name="NOTAS ojo 7-21" sheetId="41" r:id="rId7"/>
    <sheet name="Inv. Medicamentos" sheetId="45" r:id="rId8"/>
    <sheet name="Inv. Materiales Gastables" sheetId="43" r:id="rId9"/>
    <sheet name="Nota PPE" sheetId="40" state="hidden" r:id="rId10"/>
    <sheet name="CUENTAS  POR PAGAR" sheetId="44" r:id="rId11"/>
    <sheet name="NOTAS (2)" sheetId="31" r:id="rId12"/>
    <sheet name="RESUMEN INGRESOS Y EGRESOS " sheetId="46" r:id="rId13"/>
    <sheet name="Hoja1" sheetId="47" r:id="rId14"/>
    <sheet name="Cargos  Bancario" sheetId="6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0">'BALANCE GENERAL Y SUS NOTAS'!$A$1:$F$325</definedName>
    <definedName name="_xlnm.Print_Area" localSheetId="10">'CUENTAS  POR PAGAR'!$A$1:$F$809</definedName>
    <definedName name="_xlnm.Print_Area" localSheetId="2">'EST. CAMBIO'!$A$1:$J$55</definedName>
    <definedName name="_xlnm.Print_Area" localSheetId="3">'EST. FLUJO'!$A$1:$G$57</definedName>
    <definedName name="_xlnm.Print_Area" localSheetId="1">'ESTADO DE REND.'!$A$1:$G$57</definedName>
    <definedName name="_xlnm.Print_Area" localSheetId="13">Hoja1!$A$1:$F$30</definedName>
    <definedName name="_xlnm.Print_Area" localSheetId="8">'Inv. Materiales Gastables'!$A$1:$L$286</definedName>
    <definedName name="_xlnm.Print_Area" localSheetId="5">'Notas E. F. 1-6'!$A$1:$H$316</definedName>
    <definedName name="_xlnm.Print_Area" localSheetId="6">'NOTAS ojo 7-21'!$B$4:$E$394</definedName>
    <definedName name="_xlnm.Print_Titles" localSheetId="0">'BALANCE GENERAL Y SUS NOTAS'!$1:$11</definedName>
    <definedName name="_xlnm.Print_Titles" localSheetId="11">'NOTAS (2)'!$3:$3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3" i="29" l="1"/>
  <c r="C302" i="29" l="1"/>
  <c r="E252" i="29"/>
  <c r="D252" i="29"/>
  <c r="C252" i="29"/>
  <c r="F250" i="29"/>
  <c r="C247" i="29"/>
  <c r="F246" i="29"/>
  <c r="E247" i="29"/>
  <c r="D247" i="29"/>
  <c r="E359" i="41"/>
  <c r="E358" i="41"/>
  <c r="E357" i="41"/>
  <c r="E356" i="41"/>
  <c r="E355" i="41"/>
  <c r="E354" i="41"/>
  <c r="E353" i="41"/>
  <c r="E352" i="41"/>
  <c r="E351" i="41"/>
  <c r="E350" i="41"/>
  <c r="E331" i="41"/>
  <c r="C156" i="31"/>
  <c r="C255" i="41" s="1"/>
  <c r="E155" i="31"/>
  <c r="D254" i="41" s="1"/>
  <c r="D282" i="41" s="1"/>
  <c r="D259" i="41"/>
  <c r="D258" i="41"/>
  <c r="D257" i="41"/>
  <c r="D256" i="41"/>
  <c r="D255" i="41"/>
  <c r="C258" i="41"/>
  <c r="D233" i="41"/>
  <c r="D232" i="41"/>
  <c r="D231" i="41"/>
  <c r="D230" i="41"/>
  <c r="D229" i="41"/>
  <c r="D228" i="41"/>
  <c r="C128" i="31"/>
  <c r="E217" i="41"/>
  <c r="E216" i="41"/>
  <c r="E215" i="41"/>
  <c r="E214" i="41"/>
  <c r="E201" i="41"/>
  <c r="D201" i="41"/>
  <c r="D200" i="41"/>
  <c r="E200" i="41" s="1"/>
  <c r="D199" i="41"/>
  <c r="E199" i="41" s="1"/>
  <c r="D198" i="41"/>
  <c r="E198" i="41" s="1"/>
  <c r="D197" i="41"/>
  <c r="E197" i="41" s="1"/>
  <c r="H180" i="41"/>
  <c r="J180" i="41" s="1"/>
  <c r="I180" i="41"/>
  <c r="D253" i="29" l="1"/>
  <c r="C253" i="29"/>
  <c r="C288" i="29"/>
  <c r="E253" i="29"/>
  <c r="F245" i="29"/>
  <c r="F247" i="29" s="1"/>
  <c r="C237" i="29"/>
  <c r="C211" i="29"/>
  <c r="C193" i="29"/>
  <c r="C118" i="29"/>
  <c r="C97" i="29"/>
  <c r="C171" i="29"/>
  <c r="C222" i="29"/>
  <c r="F251" i="29"/>
  <c r="F252" i="29" s="1"/>
  <c r="E258" i="41"/>
  <c r="E255" i="41"/>
  <c r="F253" i="29" l="1"/>
  <c r="D128" i="41"/>
  <c r="D127" i="41"/>
  <c r="E127" i="41" s="1"/>
  <c r="D126" i="41"/>
  <c r="E126" i="41" s="1"/>
  <c r="D125" i="41"/>
  <c r="E125" i="41" s="1"/>
  <c r="D124" i="41"/>
  <c r="D89" i="41"/>
  <c r="E88" i="41"/>
  <c r="E87" i="41"/>
  <c r="E81" i="41"/>
  <c r="D31" i="41" l="1"/>
  <c r="D30" i="41"/>
  <c r="D29" i="41"/>
  <c r="F25" i="30" l="1"/>
  <c r="F20" i="32" l="1"/>
  <c r="D11" i="41" l="1"/>
  <c r="H17" i="34"/>
  <c r="D32" i="33"/>
  <c r="D22" i="33"/>
  <c r="D21" i="33"/>
  <c r="D20" i="33"/>
  <c r="D19" i="33"/>
  <c r="D18" i="33"/>
  <c r="D17" i="33"/>
  <c r="D16" i="33"/>
  <c r="D15" i="33"/>
  <c r="F146" i="41" l="1"/>
  <c r="C127" i="31"/>
  <c r="C126" i="31"/>
  <c r="E247" i="31"/>
  <c r="E246" i="31"/>
  <c r="D391" i="41" s="1"/>
  <c r="E391" i="41" s="1"/>
  <c r="E245" i="31"/>
  <c r="D390" i="41" s="1"/>
  <c r="E390" i="41" s="1"/>
  <c r="E244" i="31"/>
  <c r="D389" i="41" s="1"/>
  <c r="E389" i="41" s="1"/>
  <c r="E243" i="31"/>
  <c r="D388" i="41" s="1"/>
  <c r="E388" i="41" s="1"/>
  <c r="E242" i="31"/>
  <c r="D387" i="41" s="1"/>
  <c r="E387" i="41" s="1"/>
  <c r="E241" i="31"/>
  <c r="D386" i="41" s="1"/>
  <c r="E386" i="41" s="1"/>
  <c r="E240" i="31"/>
  <c r="D385" i="41" s="1"/>
  <c r="E385" i="41" s="1"/>
  <c r="E239" i="31"/>
  <c r="D384" i="41" s="1"/>
  <c r="E384" i="41" s="1"/>
  <c r="C232" i="31"/>
  <c r="C231" i="31"/>
  <c r="C230" i="31"/>
  <c r="C229" i="31"/>
  <c r="G232" i="31"/>
  <c r="G231" i="31"/>
  <c r="G229" i="31"/>
  <c r="G228" i="31"/>
  <c r="C228" i="31" s="1"/>
  <c r="E196" i="31"/>
  <c r="D321" i="41" s="1"/>
  <c r="E321" i="41" s="1"/>
  <c r="E195" i="31"/>
  <c r="D320" i="41" s="1"/>
  <c r="E320" i="41" s="1"/>
  <c r="E194" i="31"/>
  <c r="D319" i="41" s="1"/>
  <c r="E319" i="41" s="1"/>
  <c r="E4" i="31"/>
  <c r="F158" i="41"/>
  <c r="F157" i="41"/>
  <c r="G21" i="32"/>
  <c r="E232" i="31"/>
  <c r="E231" i="31"/>
  <c r="E229" i="31"/>
  <c r="E228" i="31"/>
  <c r="G18" i="32" l="1"/>
  <c r="E20" i="32"/>
  <c r="C17" i="32"/>
  <c r="C20" i="32" s="1"/>
  <c r="D20" i="32"/>
  <c r="G17" i="32" l="1"/>
  <c r="G19" i="32" l="1"/>
  <c r="G20" i="32" s="1"/>
  <c r="C24" i="32" l="1"/>
  <c r="E19" i="30"/>
  <c r="C373" i="41" l="1"/>
  <c r="C372" i="41"/>
  <c r="C370" i="41"/>
  <c r="C369" i="41"/>
  <c r="E151" i="41"/>
  <c r="D151" i="41"/>
  <c r="C151" i="41"/>
  <c r="E145" i="41" l="1"/>
  <c r="D145" i="41"/>
  <c r="F145" i="41" s="1"/>
  <c r="L598" i="45" l="1"/>
  <c r="L597" i="45"/>
  <c r="L596" i="45"/>
  <c r="L595" i="45"/>
  <c r="L594" i="45"/>
  <c r="L593" i="45"/>
  <c r="L592" i="45"/>
  <c r="L591" i="45"/>
  <c r="L590" i="45"/>
  <c r="L589" i="45"/>
  <c r="L588" i="45"/>
  <c r="L587" i="45"/>
  <c r="L586" i="45"/>
  <c r="L585" i="45"/>
  <c r="L584" i="45"/>
  <c r="L583" i="45"/>
  <c r="L582" i="45"/>
  <c r="L581" i="45"/>
  <c r="L580" i="45"/>
  <c r="L579" i="45"/>
  <c r="L578" i="45"/>
  <c r="L577" i="45"/>
  <c r="L576" i="45"/>
  <c r="L575" i="45"/>
  <c r="L574" i="45"/>
  <c r="L573" i="45"/>
  <c r="L572" i="45"/>
  <c r="L571" i="45"/>
  <c r="L570" i="45"/>
  <c r="L569" i="45"/>
  <c r="L568" i="45"/>
  <c r="L567" i="45"/>
  <c r="L566" i="45"/>
  <c r="L565" i="45"/>
  <c r="L564" i="45"/>
  <c r="L563" i="45"/>
  <c r="L562" i="45"/>
  <c r="L561" i="45"/>
  <c r="L560" i="45"/>
  <c r="L559" i="45"/>
  <c r="L558" i="45"/>
  <c r="L557" i="45"/>
  <c r="L556" i="45"/>
  <c r="L555" i="45"/>
  <c r="L554" i="45"/>
  <c r="L553" i="45"/>
  <c r="L552" i="45"/>
  <c r="L551" i="45"/>
  <c r="L550" i="45"/>
  <c r="L549" i="45"/>
  <c r="L548" i="45"/>
  <c r="L547" i="45"/>
  <c r="L546" i="45"/>
  <c r="L545" i="45"/>
  <c r="L544" i="45"/>
  <c r="L543" i="45"/>
  <c r="L542" i="45"/>
  <c r="L541" i="45"/>
  <c r="L540" i="45"/>
  <c r="L539" i="45"/>
  <c r="L538" i="45"/>
  <c r="L537" i="45"/>
  <c r="L536" i="45"/>
  <c r="L535" i="45"/>
  <c r="L534" i="45"/>
  <c r="L533" i="45"/>
  <c r="L532" i="45"/>
  <c r="L531" i="45"/>
  <c r="L530" i="45"/>
  <c r="L529" i="45"/>
  <c r="L528" i="45"/>
  <c r="L527" i="45"/>
  <c r="L526" i="45"/>
  <c r="L525" i="45"/>
  <c r="L524" i="45"/>
  <c r="L523" i="45"/>
  <c r="L522" i="45"/>
  <c r="L521" i="45"/>
  <c r="L520" i="45"/>
  <c r="L519" i="45"/>
  <c r="L518" i="45"/>
  <c r="L517" i="45"/>
  <c r="L516" i="45"/>
  <c r="L515" i="45"/>
  <c r="L514" i="45"/>
  <c r="L513" i="45"/>
  <c r="L512" i="45"/>
  <c r="L511" i="45"/>
  <c r="H511" i="45"/>
  <c r="L510" i="45"/>
  <c r="L509" i="45"/>
  <c r="L508" i="45"/>
  <c r="L507" i="45"/>
  <c r="L506" i="45"/>
  <c r="L505" i="45"/>
  <c r="L504" i="45"/>
  <c r="L503" i="45"/>
  <c r="L502" i="45"/>
  <c r="L501" i="45"/>
  <c r="L500" i="45"/>
  <c r="L499" i="45"/>
  <c r="L498" i="45"/>
  <c r="L497" i="45"/>
  <c r="L496" i="45"/>
  <c r="L495" i="45"/>
  <c r="L494" i="45"/>
  <c r="L493" i="45"/>
  <c r="L492" i="45"/>
  <c r="L491" i="45"/>
  <c r="L490" i="45"/>
  <c r="L489" i="45"/>
  <c r="L488" i="45"/>
  <c r="L487" i="45"/>
  <c r="L486" i="45"/>
  <c r="H486" i="45"/>
  <c r="L485" i="45"/>
  <c r="L484" i="45"/>
  <c r="L483" i="45"/>
  <c r="L482" i="45"/>
  <c r="L481" i="45"/>
  <c r="L480" i="45"/>
  <c r="L479" i="45"/>
  <c r="L478" i="45"/>
  <c r="L477" i="45"/>
  <c r="L476" i="45"/>
  <c r="L475" i="45"/>
  <c r="L474" i="45"/>
  <c r="L473" i="45"/>
  <c r="L472" i="45"/>
  <c r="L471" i="45"/>
  <c r="L470" i="45"/>
  <c r="L469" i="45"/>
  <c r="L468" i="45"/>
  <c r="L467" i="45"/>
  <c r="L466" i="45"/>
  <c r="L465" i="45"/>
  <c r="L464" i="45"/>
  <c r="L463" i="45"/>
  <c r="L462" i="45"/>
  <c r="L461" i="45"/>
  <c r="L460" i="45"/>
  <c r="L459" i="45"/>
  <c r="L458" i="45"/>
  <c r="L457" i="45"/>
  <c r="L456" i="45"/>
  <c r="L455" i="45"/>
  <c r="L454" i="45"/>
  <c r="L453" i="45"/>
  <c r="L452" i="45"/>
  <c r="L451" i="45"/>
  <c r="L450" i="45"/>
  <c r="L449" i="45"/>
  <c r="L448" i="45"/>
  <c r="L447" i="45"/>
  <c r="L446" i="45"/>
  <c r="L445" i="45"/>
  <c r="L444" i="45"/>
  <c r="L443" i="45"/>
  <c r="L442" i="45"/>
  <c r="L441" i="45"/>
  <c r="L440" i="45"/>
  <c r="L439" i="45"/>
  <c r="L438" i="45"/>
  <c r="L437" i="45"/>
  <c r="L436" i="45"/>
  <c r="L435" i="45"/>
  <c r="L434" i="45"/>
  <c r="L433" i="45"/>
  <c r="L432" i="45"/>
  <c r="L431" i="45"/>
  <c r="L430" i="45"/>
  <c r="L429" i="45"/>
  <c r="L428" i="45"/>
  <c r="L427" i="45"/>
  <c r="L426" i="45"/>
  <c r="L425" i="45"/>
  <c r="L424" i="45"/>
  <c r="L423" i="45"/>
  <c r="L422" i="45"/>
  <c r="L421" i="45"/>
  <c r="L420" i="45"/>
  <c r="L419" i="45"/>
  <c r="L418" i="45"/>
  <c r="L417" i="45"/>
  <c r="L416" i="45"/>
  <c r="L415" i="45"/>
  <c r="L414" i="45"/>
  <c r="L413" i="45"/>
  <c r="L412" i="45"/>
  <c r="L411" i="45"/>
  <c r="L410" i="45"/>
  <c r="L409" i="45"/>
  <c r="L408" i="45"/>
  <c r="L407" i="45"/>
  <c r="L406" i="45"/>
  <c r="L405" i="45"/>
  <c r="L404" i="45"/>
  <c r="L403" i="45"/>
  <c r="L402" i="45"/>
  <c r="L401" i="45"/>
  <c r="L400" i="45"/>
  <c r="L399" i="45"/>
  <c r="L398" i="45"/>
  <c r="L397" i="45"/>
  <c r="L396" i="45"/>
  <c r="L395" i="45"/>
  <c r="L394" i="45"/>
  <c r="L393" i="45"/>
  <c r="L392" i="45"/>
  <c r="L391" i="45"/>
  <c r="L390" i="45"/>
  <c r="H390" i="45"/>
  <c r="L389" i="45"/>
  <c r="L388" i="45"/>
  <c r="L387" i="45"/>
  <c r="L386" i="45"/>
  <c r="L385" i="45"/>
  <c r="L384" i="45"/>
  <c r="L383" i="45"/>
  <c r="L382" i="45"/>
  <c r="L381" i="45"/>
  <c r="L380" i="45"/>
  <c r="L379" i="45"/>
  <c r="L378" i="45"/>
  <c r="L377" i="45"/>
  <c r="L376" i="45"/>
  <c r="L375" i="45"/>
  <c r="L374" i="45"/>
  <c r="L373" i="45"/>
  <c r="L372" i="45"/>
  <c r="L371" i="45"/>
  <c r="L370" i="45"/>
  <c r="L369" i="45"/>
  <c r="L368" i="45"/>
  <c r="L367" i="45"/>
  <c r="L366" i="45"/>
  <c r="L365" i="45"/>
  <c r="L364" i="45"/>
  <c r="L363" i="45"/>
  <c r="L362" i="45"/>
  <c r="L361" i="45"/>
  <c r="L360" i="45"/>
  <c r="L359" i="45"/>
  <c r="L358" i="45"/>
  <c r="L357" i="45"/>
  <c r="L356" i="45"/>
  <c r="L355" i="45"/>
  <c r="L354" i="45"/>
  <c r="L353" i="45"/>
  <c r="L352" i="45"/>
  <c r="L351" i="45"/>
  <c r="L350" i="45"/>
  <c r="L349" i="45"/>
  <c r="L348" i="45"/>
  <c r="L347" i="45"/>
  <c r="L346" i="45"/>
  <c r="L345" i="45"/>
  <c r="L344" i="45"/>
  <c r="L343" i="45"/>
  <c r="L342" i="45"/>
  <c r="L341" i="45"/>
  <c r="L340" i="45"/>
  <c r="L339" i="45"/>
  <c r="L338" i="45"/>
  <c r="L337" i="45"/>
  <c r="L336" i="45"/>
  <c r="L335" i="45"/>
  <c r="L334" i="45"/>
  <c r="L333" i="45"/>
  <c r="L332" i="45"/>
  <c r="L331" i="45"/>
  <c r="L330" i="45"/>
  <c r="L329" i="45"/>
  <c r="L328" i="45"/>
  <c r="L327" i="45"/>
  <c r="L326" i="45"/>
  <c r="L325" i="45"/>
  <c r="L324" i="45"/>
  <c r="L323" i="45"/>
  <c r="L322" i="45"/>
  <c r="L321" i="45"/>
  <c r="H321" i="45"/>
  <c r="L320" i="45"/>
  <c r="L319" i="45"/>
  <c r="L318" i="45"/>
  <c r="L317" i="45"/>
  <c r="L316" i="45"/>
  <c r="L315" i="45"/>
  <c r="L314" i="45"/>
  <c r="L313" i="45"/>
  <c r="L312" i="45"/>
  <c r="L311" i="45"/>
  <c r="L310" i="45"/>
  <c r="L309" i="45"/>
  <c r="L308" i="45"/>
  <c r="L307" i="45"/>
  <c r="L306" i="45"/>
  <c r="L305" i="45"/>
  <c r="L304" i="45"/>
  <c r="L303" i="45"/>
  <c r="L302" i="45"/>
  <c r="L301" i="45"/>
  <c r="L300" i="45"/>
  <c r="L299" i="45"/>
  <c r="L298" i="45"/>
  <c r="L297" i="45"/>
  <c r="L296" i="45"/>
  <c r="L295" i="45"/>
  <c r="L294" i="45"/>
  <c r="L293" i="45"/>
  <c r="L292" i="45"/>
  <c r="L291" i="45"/>
  <c r="L290" i="45"/>
  <c r="L289" i="45"/>
  <c r="L288" i="45"/>
  <c r="L287" i="45"/>
  <c r="L286" i="45"/>
  <c r="L285" i="45"/>
  <c r="L284" i="45"/>
  <c r="L283" i="45"/>
  <c r="H283" i="45"/>
  <c r="L282" i="45"/>
  <c r="L281" i="45"/>
  <c r="L280" i="45"/>
  <c r="L279" i="45"/>
  <c r="L278" i="45"/>
  <c r="L277" i="45"/>
  <c r="L276" i="45"/>
  <c r="L275" i="45"/>
  <c r="L274" i="45"/>
  <c r="L273" i="45"/>
  <c r="L272" i="45"/>
  <c r="L271" i="45"/>
  <c r="L270" i="45"/>
  <c r="L269" i="45"/>
  <c r="L268" i="45"/>
  <c r="L267" i="45"/>
  <c r="L266" i="45"/>
  <c r="L265" i="45"/>
  <c r="L264" i="45"/>
  <c r="L263" i="45"/>
  <c r="L262" i="45"/>
  <c r="L261" i="45"/>
  <c r="L260" i="45"/>
  <c r="L259" i="45"/>
  <c r="L258" i="45"/>
  <c r="L257" i="45"/>
  <c r="L256" i="45"/>
  <c r="L255" i="45"/>
  <c r="L254" i="45"/>
  <c r="L253" i="45"/>
  <c r="L252" i="45"/>
  <c r="L251" i="45"/>
  <c r="L250" i="45"/>
  <c r="L249" i="45"/>
  <c r="L248" i="45"/>
  <c r="L247" i="45"/>
  <c r="L246" i="45"/>
  <c r="L245" i="45"/>
  <c r="L244" i="45"/>
  <c r="L243" i="45"/>
  <c r="L242" i="45"/>
  <c r="L241" i="45"/>
  <c r="L240" i="45"/>
  <c r="L239" i="45"/>
  <c r="L238" i="45"/>
  <c r="L237" i="45"/>
  <c r="L236" i="45"/>
  <c r="L235" i="45"/>
  <c r="L234" i="45"/>
  <c r="L233" i="45"/>
  <c r="L232" i="45"/>
  <c r="L231" i="45"/>
  <c r="L230" i="45"/>
  <c r="L229" i="45"/>
  <c r="L228" i="45"/>
  <c r="L227" i="45"/>
  <c r="L226" i="45"/>
  <c r="L225" i="45"/>
  <c r="L224" i="45"/>
  <c r="L223" i="45"/>
  <c r="L222" i="45"/>
  <c r="L221" i="45"/>
  <c r="L220" i="45"/>
  <c r="L219" i="45"/>
  <c r="L218" i="45"/>
  <c r="L217" i="45"/>
  <c r="L216" i="45"/>
  <c r="L215" i="45"/>
  <c r="L214" i="45"/>
  <c r="L213" i="45"/>
  <c r="L212" i="45"/>
  <c r="L211" i="45"/>
  <c r="L210" i="45"/>
  <c r="L209" i="45"/>
  <c r="L208" i="45"/>
  <c r="L207" i="45"/>
  <c r="L206" i="45"/>
  <c r="L205" i="45"/>
  <c r="L204" i="45"/>
  <c r="L203" i="45"/>
  <c r="L202" i="45"/>
  <c r="L201" i="45"/>
  <c r="L200" i="45"/>
  <c r="L199" i="45"/>
  <c r="L198" i="45"/>
  <c r="L197" i="45"/>
  <c r="L196" i="45"/>
  <c r="L195" i="45"/>
  <c r="L194" i="45"/>
  <c r="L193" i="45"/>
  <c r="L192" i="45"/>
  <c r="L191" i="45"/>
  <c r="L190" i="45"/>
  <c r="L189" i="45"/>
  <c r="L188" i="45"/>
  <c r="L187" i="45"/>
  <c r="L186" i="45"/>
  <c r="L185" i="45"/>
  <c r="L184" i="45"/>
  <c r="L183" i="45"/>
  <c r="L182" i="45"/>
  <c r="L181" i="45"/>
  <c r="L180" i="45"/>
  <c r="L179" i="45"/>
  <c r="L178" i="45"/>
  <c r="L177" i="45"/>
  <c r="L176" i="45"/>
  <c r="L175" i="45"/>
  <c r="L174" i="45"/>
  <c r="L173" i="45"/>
  <c r="L172" i="45"/>
  <c r="L171" i="45"/>
  <c r="L170" i="45"/>
  <c r="L169" i="45"/>
  <c r="L168" i="45"/>
  <c r="L167" i="45"/>
  <c r="L166" i="45"/>
  <c r="L165" i="45"/>
  <c r="L164" i="45"/>
  <c r="L163" i="45"/>
  <c r="L162" i="45"/>
  <c r="L161" i="45"/>
  <c r="L160" i="45"/>
  <c r="L159" i="45"/>
  <c r="L158" i="45"/>
  <c r="L157" i="45"/>
  <c r="L156" i="45"/>
  <c r="L155" i="45"/>
  <c r="L154" i="45"/>
  <c r="L153" i="45"/>
  <c r="L152" i="45"/>
  <c r="L151" i="45"/>
  <c r="L150" i="45"/>
  <c r="L149" i="45"/>
  <c r="L148" i="45"/>
  <c r="L147" i="45"/>
  <c r="L146" i="45"/>
  <c r="L145" i="45"/>
  <c r="L144" i="45"/>
  <c r="L143" i="45"/>
  <c r="L142" i="45"/>
  <c r="L141" i="45"/>
  <c r="L140" i="45"/>
  <c r="L139" i="45"/>
  <c r="L138" i="45"/>
  <c r="L137" i="45"/>
  <c r="L136" i="45"/>
  <c r="L135" i="45"/>
  <c r="L134" i="45"/>
  <c r="L133" i="45"/>
  <c r="L132" i="45"/>
  <c r="L131" i="45"/>
  <c r="L130" i="45"/>
  <c r="L129" i="45"/>
  <c r="L128" i="45"/>
  <c r="L127" i="45"/>
  <c r="L126" i="45"/>
  <c r="L125" i="45"/>
  <c r="L124" i="45"/>
  <c r="L123" i="45"/>
  <c r="L122" i="45"/>
  <c r="L121" i="45"/>
  <c r="L120" i="45"/>
  <c r="L119" i="45"/>
  <c r="L118" i="45"/>
  <c r="L117" i="45"/>
  <c r="L116" i="45"/>
  <c r="L115" i="45"/>
  <c r="L114" i="45"/>
  <c r="L113" i="45"/>
  <c r="L112" i="45"/>
  <c r="L111" i="45"/>
  <c r="L110" i="45"/>
  <c r="L109" i="45"/>
  <c r="L108" i="45"/>
  <c r="L107" i="45"/>
  <c r="L106" i="45"/>
  <c r="L105" i="45"/>
  <c r="L104" i="45"/>
  <c r="L103" i="45"/>
  <c r="L102" i="45"/>
  <c r="L101" i="45"/>
  <c r="L100" i="45"/>
  <c r="L99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L86" i="45"/>
  <c r="L85" i="45"/>
  <c r="L84" i="45"/>
  <c r="L83" i="45"/>
  <c r="L82" i="45"/>
  <c r="L8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L60" i="45"/>
  <c r="L59" i="45"/>
  <c r="L58" i="45"/>
  <c r="L57" i="45"/>
  <c r="L56" i="45"/>
  <c r="L55" i="45"/>
  <c r="L54" i="45"/>
  <c r="L53" i="45"/>
  <c r="L52" i="45"/>
  <c r="L51" i="45"/>
  <c r="L50" i="45"/>
  <c r="L49" i="45"/>
  <c r="L48" i="45"/>
  <c r="L47" i="45"/>
  <c r="L46" i="45"/>
  <c r="L45" i="45"/>
  <c r="L44" i="45"/>
  <c r="L43" i="45"/>
  <c r="L42" i="45"/>
  <c r="L41" i="45"/>
  <c r="L40" i="45"/>
  <c r="L39" i="45"/>
  <c r="L38" i="45"/>
  <c r="L37" i="45"/>
  <c r="L36" i="45"/>
  <c r="L35" i="45"/>
  <c r="L34" i="45"/>
  <c r="L33" i="45"/>
  <c r="L32" i="45"/>
  <c r="L31" i="45"/>
  <c r="L30" i="45"/>
  <c r="L29" i="45"/>
  <c r="L28" i="45"/>
  <c r="L27" i="45"/>
  <c r="L26" i="45"/>
  <c r="L25" i="45"/>
  <c r="L24" i="45"/>
  <c r="L23" i="45"/>
  <c r="L22" i="45"/>
  <c r="H22" i="45"/>
  <c r="L21" i="45"/>
  <c r="L20" i="45"/>
  <c r="L19" i="45"/>
  <c r="L18" i="45"/>
  <c r="L17" i="45"/>
  <c r="L16" i="45"/>
  <c r="L15" i="45"/>
  <c r="L14" i="45"/>
  <c r="L13" i="45"/>
  <c r="L600" i="45" s="1"/>
  <c r="C84" i="31" l="1"/>
  <c r="C83" i="31"/>
  <c r="C82" i="31"/>
  <c r="C81" i="31"/>
  <c r="C80" i="31"/>
  <c r="C106" i="31"/>
  <c r="C185" i="41" s="1"/>
  <c r="K264" i="43" l="1"/>
  <c r="L264" i="43" s="1"/>
  <c r="L263" i="43"/>
  <c r="K262" i="43"/>
  <c r="L262" i="43" s="1"/>
  <c r="K261" i="43"/>
  <c r="L261" i="43" s="1"/>
  <c r="K260" i="43"/>
  <c r="L260" i="43" s="1"/>
  <c r="L259" i="43"/>
  <c r="L258" i="43"/>
  <c r="L257" i="43"/>
  <c r="L256" i="43"/>
  <c r="L255" i="43"/>
  <c r="L254" i="43"/>
  <c r="K253" i="43"/>
  <c r="L253" i="43" s="1"/>
  <c r="L252" i="43"/>
  <c r="L251" i="43"/>
  <c r="L250" i="43"/>
  <c r="L249" i="43"/>
  <c r="L248" i="43"/>
  <c r="L247" i="43"/>
  <c r="L246" i="43"/>
  <c r="L245" i="43"/>
  <c r="L244" i="43"/>
  <c r="L243" i="43"/>
  <c r="L242" i="43"/>
  <c r="L241" i="43"/>
  <c r="L240" i="43"/>
  <c r="L239" i="43"/>
  <c r="L238" i="43"/>
  <c r="L237" i="43"/>
  <c r="L236" i="43"/>
  <c r="L235" i="43"/>
  <c r="L234" i="43"/>
  <c r="L233" i="43"/>
  <c r="L232" i="43"/>
  <c r="L231" i="43"/>
  <c r="L230" i="43"/>
  <c r="L229" i="43"/>
  <c r="L228" i="43"/>
  <c r="L227" i="43"/>
  <c r="L226" i="43"/>
  <c r="L225" i="43"/>
  <c r="L224" i="43"/>
  <c r="K223" i="43"/>
  <c r="L223" i="43" s="1"/>
  <c r="L222" i="43"/>
  <c r="L221" i="43"/>
  <c r="L220" i="43"/>
  <c r="L219" i="43"/>
  <c r="L218" i="43"/>
  <c r="L217" i="43"/>
  <c r="L216" i="43"/>
  <c r="L215" i="43"/>
  <c r="L214" i="43"/>
  <c r="L213" i="43"/>
  <c r="L212" i="43"/>
  <c r="L211" i="43"/>
  <c r="L210" i="43"/>
  <c r="L209" i="43"/>
  <c r="L208" i="43"/>
  <c r="K207" i="43"/>
  <c r="L207" i="43" s="1"/>
  <c r="L206" i="43"/>
  <c r="L205" i="43"/>
  <c r="L204" i="43"/>
  <c r="L203" i="43"/>
  <c r="L202" i="43"/>
  <c r="L201" i="43"/>
  <c r="L200" i="43"/>
  <c r="K199" i="43"/>
  <c r="L199" i="43" s="1"/>
  <c r="L198" i="43"/>
  <c r="L197" i="43"/>
  <c r="L196" i="43"/>
  <c r="L195" i="43"/>
  <c r="L194" i="43"/>
  <c r="L193" i="43"/>
  <c r="K192" i="43"/>
  <c r="L192" i="43" s="1"/>
  <c r="L191" i="43"/>
  <c r="K190" i="43"/>
  <c r="L190" i="43" s="1"/>
  <c r="L189" i="43"/>
  <c r="L188" i="43"/>
  <c r="L187" i="43"/>
  <c r="L186" i="43"/>
  <c r="L185" i="43"/>
  <c r="L184" i="43"/>
  <c r="L183" i="43"/>
  <c r="L182" i="43"/>
  <c r="L181" i="43"/>
  <c r="L180" i="43"/>
  <c r="L179" i="43"/>
  <c r="L178" i="43"/>
  <c r="L177" i="43"/>
  <c r="L176" i="43"/>
  <c r="L175" i="43"/>
  <c r="L174" i="43"/>
  <c r="L173" i="43"/>
  <c r="L172" i="43"/>
  <c r="L171" i="43"/>
  <c r="L170" i="43"/>
  <c r="L169" i="43"/>
  <c r="L168" i="43"/>
  <c r="L167" i="43"/>
  <c r="L166" i="43"/>
  <c r="L165" i="43"/>
  <c r="L164" i="43"/>
  <c r="L163" i="43"/>
  <c r="L162" i="43"/>
  <c r="L161" i="43"/>
  <c r="L160" i="43"/>
  <c r="L159" i="43"/>
  <c r="L158" i="43"/>
  <c r="L157" i="43"/>
  <c r="L156" i="43"/>
  <c r="L155" i="43"/>
  <c r="L154" i="43"/>
  <c r="L153" i="43"/>
  <c r="L152" i="43"/>
  <c r="L151" i="43"/>
  <c r="L150" i="43"/>
  <c r="L149" i="43"/>
  <c r="L148" i="43"/>
  <c r="K148" i="43"/>
  <c r="L147" i="43"/>
  <c r="L146" i="43"/>
  <c r="L145" i="43"/>
  <c r="L144" i="43"/>
  <c r="L143" i="43"/>
  <c r="L142" i="43"/>
  <c r="L141" i="43"/>
  <c r="L140" i="43"/>
  <c r="K139" i="43"/>
  <c r="L139" i="43" s="1"/>
  <c r="L138" i="43"/>
  <c r="L137" i="43"/>
  <c r="K136" i="43"/>
  <c r="L136" i="43" s="1"/>
  <c r="L135" i="43"/>
  <c r="L134" i="43"/>
  <c r="L133" i="43"/>
  <c r="L132" i="43"/>
  <c r="L131" i="43"/>
  <c r="L130" i="43"/>
  <c r="L129" i="43"/>
  <c r="L128" i="43"/>
  <c r="L127" i="43"/>
  <c r="L126" i="43"/>
  <c r="L125" i="43"/>
  <c r="L124" i="43"/>
  <c r="L123" i="43"/>
  <c r="L122" i="43"/>
  <c r="K121" i="43"/>
  <c r="L121" i="43" s="1"/>
  <c r="L120" i="43"/>
  <c r="L119" i="43"/>
  <c r="L118" i="43"/>
  <c r="K118" i="43"/>
  <c r="L117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K87" i="43"/>
  <c r="L86" i="43"/>
  <c r="L85" i="43"/>
  <c r="K84" i="43"/>
  <c r="L84" i="43" s="1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K67" i="43"/>
  <c r="L67" i="43" s="1"/>
  <c r="K66" i="43"/>
  <c r="L66" i="43" s="1"/>
  <c r="L65" i="43"/>
  <c r="L64" i="43"/>
  <c r="L63" i="43"/>
  <c r="L62" i="43"/>
  <c r="L61" i="43"/>
  <c r="K60" i="43"/>
  <c r="L60" i="43" s="1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K18" i="43"/>
  <c r="L18" i="43" s="1"/>
  <c r="L17" i="43"/>
  <c r="L16" i="43"/>
  <c r="L15" i="43"/>
  <c r="L14" i="43"/>
  <c r="L13" i="43"/>
  <c r="K13" i="43"/>
  <c r="L12" i="43"/>
  <c r="L11" i="43"/>
  <c r="C65" i="31" l="1"/>
  <c r="C64" i="31"/>
  <c r="C63" i="31"/>
  <c r="C86" i="41" s="1"/>
  <c r="E86" i="41" s="1"/>
  <c r="C62" i="31"/>
  <c r="C61" i="31"/>
  <c r="C60" i="31"/>
  <c r="C59" i="31"/>
  <c r="C58" i="31"/>
  <c r="C57" i="31"/>
  <c r="C56" i="31"/>
  <c r="C55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G26" i="31"/>
  <c r="C26" i="31" s="1"/>
  <c r="G49" i="31" l="1"/>
  <c r="C108" i="31"/>
  <c r="C107" i="31"/>
  <c r="F12" i="65"/>
  <c r="F24" i="65" s="1"/>
  <c r="H24" i="65"/>
  <c r="G24" i="65"/>
  <c r="I23" i="65"/>
  <c r="I22" i="65"/>
  <c r="I21" i="65"/>
  <c r="I20" i="65"/>
  <c r="I19" i="65"/>
  <c r="I18" i="65"/>
  <c r="I17" i="65"/>
  <c r="I16" i="65"/>
  <c r="I15" i="65"/>
  <c r="I14" i="65"/>
  <c r="I13" i="65"/>
  <c r="E24" i="65"/>
  <c r="I12" i="65" l="1"/>
  <c r="I24" i="65" s="1"/>
  <c r="G141" i="31" l="1"/>
  <c r="G137" i="31"/>
  <c r="G136" i="31"/>
  <c r="C112" i="41"/>
  <c r="E112" i="41" s="1"/>
  <c r="C72" i="31"/>
  <c r="C111" i="41" s="1"/>
  <c r="E111" i="41" s="1"/>
  <c r="C8" i="31"/>
  <c r="C15" i="41" s="1"/>
  <c r="E15" i="41" s="1"/>
  <c r="C7" i="31"/>
  <c r="C14" i="41" s="1"/>
  <c r="E14" i="41" s="1"/>
  <c r="C6" i="31"/>
  <c r="C13" i="41" s="1"/>
  <c r="E13" i="41" s="1"/>
  <c r="C5" i="31"/>
  <c r="C12" i="41" s="1"/>
  <c r="E12" i="41" s="1"/>
  <c r="G4" i="31"/>
  <c r="C4" i="31" s="1"/>
  <c r="C11" i="41" s="1"/>
  <c r="E11" i="41" s="1"/>
  <c r="E16" i="41" l="1"/>
  <c r="G19" i="46"/>
  <c r="E21" i="47"/>
  <c r="G21" i="46" l="1"/>
  <c r="G20" i="46" l="1"/>
  <c r="F21" i="46" l="1"/>
  <c r="F20" i="46"/>
  <c r="F19" i="46"/>
  <c r="F164" i="41"/>
  <c r="F163" i="41"/>
  <c r="F162" i="41"/>
  <c r="F151" i="41" l="1"/>
  <c r="H21" i="46"/>
  <c r="H20" i="46"/>
  <c r="H19" i="46"/>
  <c r="E147" i="41"/>
  <c r="E159" i="41"/>
  <c r="F159" i="41"/>
  <c r="E165" i="41"/>
  <c r="E166" i="41" l="1"/>
  <c r="F165" i="41"/>
  <c r="F166" i="41" s="1"/>
  <c r="F22" i="46" l="1"/>
  <c r="G22" i="46"/>
  <c r="C194" i="31"/>
  <c r="H22" i="46" l="1"/>
  <c r="C34" i="30" l="1"/>
  <c r="D392" i="41"/>
  <c r="E392" i="41" s="1"/>
  <c r="D373" i="41"/>
  <c r="E373" i="41" s="1"/>
  <c r="D372" i="41"/>
  <c r="E372" i="41" s="1"/>
  <c r="D371" i="41"/>
  <c r="E371" i="41" s="1"/>
  <c r="D370" i="41"/>
  <c r="E370" i="41" s="1"/>
  <c r="D369" i="41"/>
  <c r="E369" i="41" s="1"/>
  <c r="D332" i="41"/>
  <c r="D293" i="41"/>
  <c r="D283" i="41"/>
  <c r="D165" i="41" l="1"/>
  <c r="C165" i="41"/>
  <c r="D159" i="41"/>
  <c r="C159" i="41"/>
  <c r="C166" i="41" s="1"/>
  <c r="D166" i="41" l="1"/>
  <c r="L266" i="43"/>
  <c r="F794" i="44" l="1"/>
  <c r="D29" i="33"/>
  <c r="D23" i="33"/>
  <c r="D31" i="33" s="1"/>
  <c r="C195" i="31" l="1"/>
  <c r="K28" i="32" l="1"/>
  <c r="K30" i="32" s="1"/>
  <c r="E25" i="32" l="1"/>
  <c r="C119" i="31" l="1"/>
  <c r="C118" i="31"/>
  <c r="C117" i="31"/>
  <c r="C116" i="31"/>
  <c r="C115" i="31"/>
  <c r="C128" i="41"/>
  <c r="E128" i="41" s="1"/>
  <c r="C124" i="41"/>
  <c r="E124" i="41" s="1"/>
  <c r="C98" i="41"/>
  <c r="E98" i="41" s="1"/>
  <c r="C85" i="41"/>
  <c r="E85" i="41" s="1"/>
  <c r="C84" i="41"/>
  <c r="E84" i="41" s="1"/>
  <c r="C83" i="41"/>
  <c r="E83" i="41" s="1"/>
  <c r="C82" i="41"/>
  <c r="E82" i="41" s="1"/>
  <c r="C80" i="41"/>
  <c r="E80" i="41" s="1"/>
  <c r="C66" i="41"/>
  <c r="E66" i="41" s="1"/>
  <c r="C65" i="41"/>
  <c r="E65" i="41" s="1"/>
  <c r="C64" i="41"/>
  <c r="E64" i="41" s="1"/>
  <c r="C63" i="41"/>
  <c r="E63" i="41" s="1"/>
  <c r="C62" i="41"/>
  <c r="E62" i="41" s="1"/>
  <c r="C61" i="41"/>
  <c r="E61" i="41" s="1"/>
  <c r="C60" i="41"/>
  <c r="E60" i="41" s="1"/>
  <c r="C59" i="41"/>
  <c r="E59" i="41" s="1"/>
  <c r="C58" i="41"/>
  <c r="E58" i="41" s="1"/>
  <c r="C57" i="41"/>
  <c r="E57" i="41" s="1"/>
  <c r="C56" i="41"/>
  <c r="E56" i="41" s="1"/>
  <c r="C55" i="41"/>
  <c r="E55" i="41" s="1"/>
  <c r="C54" i="41"/>
  <c r="E54" i="41" s="1"/>
  <c r="C53" i="41"/>
  <c r="E53" i="41" s="1"/>
  <c r="C52" i="41"/>
  <c r="E52" i="41" s="1"/>
  <c r="C51" i="41"/>
  <c r="E51" i="41" s="1"/>
  <c r="C50" i="41"/>
  <c r="E50" i="41" s="1"/>
  <c r="C49" i="41"/>
  <c r="E49" i="41" s="1"/>
  <c r="C48" i="41"/>
  <c r="E48" i="41" s="1"/>
  <c r="C47" i="41"/>
  <c r="E47" i="41" s="1"/>
  <c r="C46" i="41"/>
  <c r="E46" i="41" s="1"/>
  <c r="C45" i="41"/>
  <c r="E45" i="41" s="1"/>
  <c r="C44" i="41"/>
  <c r="E44" i="41" s="1"/>
  <c r="C247" i="31"/>
  <c r="C246" i="31"/>
  <c r="C245" i="31"/>
  <c r="C244" i="31"/>
  <c r="C243" i="31"/>
  <c r="C242" i="31"/>
  <c r="C241" i="31"/>
  <c r="C240" i="31"/>
  <c r="C239" i="31"/>
  <c r="C221" i="31"/>
  <c r="C220" i="31"/>
  <c r="C219" i="31"/>
  <c r="C218" i="31"/>
  <c r="C217" i="31"/>
  <c r="C216" i="31"/>
  <c r="C215" i="31"/>
  <c r="C214" i="31"/>
  <c r="C213" i="31"/>
  <c r="C212" i="31"/>
  <c r="C204" i="31"/>
  <c r="C203" i="31"/>
  <c r="C196" i="31"/>
  <c r="C188" i="31"/>
  <c r="C309" i="41" s="1"/>
  <c r="E309" i="41" s="1"/>
  <c r="C187" i="31"/>
  <c r="C308" i="41" s="1"/>
  <c r="E308" i="41" s="1"/>
  <c r="C186" i="31"/>
  <c r="C307" i="41" s="1"/>
  <c r="E307" i="41" s="1"/>
  <c r="C185" i="31"/>
  <c r="C306" i="41" s="1"/>
  <c r="E306" i="41" s="1"/>
  <c r="C184" i="31"/>
  <c r="C305" i="41" s="1"/>
  <c r="E305" i="41" s="1"/>
  <c r="C177" i="31"/>
  <c r="C176" i="31"/>
  <c r="C175" i="31"/>
  <c r="C168" i="31"/>
  <c r="C167" i="31"/>
  <c r="C282" i="41" s="1"/>
  <c r="E282" i="41" s="1"/>
  <c r="C148" i="31"/>
  <c r="C141" i="31"/>
  <c r="C140" i="31"/>
  <c r="C139" i="31"/>
  <c r="C138" i="31"/>
  <c r="C137" i="31"/>
  <c r="C136" i="31"/>
  <c r="C99" i="41" l="1"/>
  <c r="E99" i="41" s="1"/>
  <c r="E178" i="31" l="1"/>
  <c r="O18" i="31" l="1"/>
  <c r="C332" i="41" l="1"/>
  <c r="C321" i="41"/>
  <c r="C320" i="41"/>
  <c r="C319" i="41"/>
  <c r="C295" i="41"/>
  <c r="C294" i="41"/>
  <c r="C293" i="41"/>
  <c r="C283" i="41"/>
  <c r="E283" i="41" s="1"/>
  <c r="C244" i="41" l="1"/>
  <c r="E244" i="41" s="1"/>
  <c r="C233" i="41"/>
  <c r="E233" i="41" s="1"/>
  <c r="C232" i="41"/>
  <c r="E232" i="41" s="1"/>
  <c r="C231" i="41"/>
  <c r="E231" i="41" s="1"/>
  <c r="C230" i="41"/>
  <c r="E230" i="41" s="1"/>
  <c r="C229" i="41"/>
  <c r="E229" i="41" s="1"/>
  <c r="C228" i="41"/>
  <c r="E228" i="41" s="1"/>
  <c r="C29" i="33" l="1"/>
  <c r="N233" i="31" l="1"/>
  <c r="M233" i="31"/>
  <c r="C89" i="41" l="1"/>
  <c r="E89" i="41" s="1"/>
  <c r="J189" i="31" l="1"/>
  <c r="C9" i="31" l="1"/>
  <c r="E197" i="31" l="1"/>
  <c r="D260" i="41" s="1"/>
  <c r="H18" i="31" l="1"/>
  <c r="D100" i="41" l="1"/>
  <c r="E9" i="31"/>
  <c r="G18" i="31" l="1"/>
  <c r="E85" i="31" l="1"/>
  <c r="D16" i="34" l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Y138" i="31" l="1"/>
  <c r="Y243" i="31" l="1"/>
  <c r="Y242" i="31"/>
  <c r="C24" i="40"/>
  <c r="F22" i="40"/>
  <c r="F23" i="40"/>
  <c r="D24" i="40"/>
  <c r="E24" i="40"/>
  <c r="F26" i="40"/>
  <c r="F27" i="40"/>
  <c r="C28" i="40"/>
  <c r="D28" i="40"/>
  <c r="E28" i="40"/>
  <c r="Y244" i="31" l="1"/>
  <c r="Y246" i="31" s="1"/>
  <c r="C29" i="40"/>
  <c r="D29" i="40"/>
  <c r="F28" i="40"/>
  <c r="F24" i="40"/>
  <c r="E29" i="40"/>
  <c r="F29" i="40" l="1"/>
  <c r="R248" i="31"/>
  <c r="R18" i="31" l="1"/>
  <c r="Q18" i="31" l="1"/>
  <c r="P18" i="31" l="1"/>
  <c r="D353" i="31" l="1"/>
  <c r="C361" i="31"/>
  <c r="C360" i="31"/>
  <c r="C359" i="31"/>
  <c r="C358" i="31"/>
  <c r="C357" i="31"/>
  <c r="C356" i="31"/>
  <c r="C355" i="31"/>
  <c r="C354" i="31"/>
  <c r="C353" i="31"/>
  <c r="D341" i="31"/>
  <c r="D340" i="31"/>
  <c r="D339" i="31"/>
  <c r="D338" i="31"/>
  <c r="D337" i="31"/>
  <c r="C341" i="31"/>
  <c r="C340" i="31"/>
  <c r="C339" i="31"/>
  <c r="C338" i="31"/>
  <c r="C337" i="31"/>
  <c r="D327" i="31"/>
  <c r="D326" i="31"/>
  <c r="D325" i="31"/>
  <c r="D324" i="31"/>
  <c r="D323" i="31"/>
  <c r="D322" i="31"/>
  <c r="D321" i="31"/>
  <c r="D320" i="31"/>
  <c r="D319" i="31"/>
  <c r="D318" i="31"/>
  <c r="C327" i="31"/>
  <c r="C326" i="31"/>
  <c r="C325" i="31"/>
  <c r="C324" i="31"/>
  <c r="C323" i="31"/>
  <c r="C322" i="31"/>
  <c r="C321" i="31"/>
  <c r="C320" i="31"/>
  <c r="C319" i="31"/>
  <c r="C318" i="31"/>
  <c r="D308" i="31"/>
  <c r="D307" i="31"/>
  <c r="C308" i="31"/>
  <c r="C307" i="31"/>
  <c r="D297" i="31"/>
  <c r="D296" i="31"/>
  <c r="D295" i="31"/>
  <c r="C297" i="31"/>
  <c r="C296" i="31"/>
  <c r="C295" i="31"/>
  <c r="C18" i="31" l="1"/>
  <c r="C31" i="41" s="1"/>
  <c r="E31" i="41" s="1"/>
  <c r="E120" i="31" l="1"/>
  <c r="D310" i="41" l="1"/>
  <c r="C310" i="41"/>
  <c r="E310" i="41" s="1"/>
  <c r="R189" i="31" l="1"/>
  <c r="R158" i="31" s="1"/>
  <c r="Q189" i="31"/>
  <c r="Q158" i="31" s="1"/>
  <c r="P189" i="31"/>
  <c r="P158" i="31" s="1"/>
  <c r="O189" i="31"/>
  <c r="O158" i="31" s="1"/>
  <c r="N189" i="31"/>
  <c r="N158" i="31" s="1"/>
  <c r="M189" i="31"/>
  <c r="M158" i="31" s="1"/>
  <c r="L189" i="31"/>
  <c r="L158" i="31" s="1"/>
  <c r="K189" i="31"/>
  <c r="K158" i="31" s="1"/>
  <c r="J158" i="31"/>
  <c r="I189" i="31"/>
  <c r="I158" i="31" s="1"/>
  <c r="H189" i="31"/>
  <c r="H158" i="31" s="1"/>
  <c r="G189" i="31"/>
  <c r="G158" i="31" s="1"/>
  <c r="E189" i="31"/>
  <c r="C189" i="31" l="1"/>
  <c r="C158" i="31" s="1"/>
  <c r="C257" i="41" s="1"/>
  <c r="E257" i="41" s="1"/>
  <c r="N18" i="31" l="1"/>
  <c r="D234" i="41" l="1"/>
  <c r="D113" i="41" l="1"/>
  <c r="D67" i="41" l="1"/>
  <c r="D16" i="41"/>
  <c r="D393" i="41" l="1"/>
  <c r="D374" i="41" l="1"/>
  <c r="E374" i="41" s="1"/>
  <c r="D360" i="41" l="1"/>
  <c r="C360" i="41"/>
  <c r="D333" i="41"/>
  <c r="E333" i="41" s="1"/>
  <c r="C333" i="41"/>
  <c r="D322" i="41"/>
  <c r="E322" i="41" s="1"/>
  <c r="D296" i="41"/>
  <c r="C296" i="41"/>
  <c r="E360" i="41" l="1"/>
  <c r="C322" i="41"/>
  <c r="C284" i="41"/>
  <c r="C374" i="41"/>
  <c r="C234" i="41" l="1"/>
  <c r="E234" i="41" s="1"/>
  <c r="D218" i="41"/>
  <c r="D202" i="41"/>
  <c r="E202" i="41" s="1"/>
  <c r="C202" i="41" l="1"/>
  <c r="D129" i="41"/>
  <c r="C113" i="41" l="1"/>
  <c r="E113" i="41" s="1"/>
  <c r="C67" i="41" l="1"/>
  <c r="E67" i="41" s="1"/>
  <c r="L85" i="31" l="1"/>
  <c r="M85" i="31"/>
  <c r="R85" i="31"/>
  <c r="Q85" i="31"/>
  <c r="P85" i="31"/>
  <c r="O85" i="31"/>
  <c r="N85" i="31"/>
  <c r="K85" i="31"/>
  <c r="J85" i="31"/>
  <c r="I85" i="31"/>
  <c r="H85" i="31"/>
  <c r="G85" i="31"/>
  <c r="M18" i="31" l="1"/>
  <c r="C85" i="31" l="1"/>
  <c r="I233" i="31"/>
  <c r="H233" i="31"/>
  <c r="C393" i="41" l="1"/>
  <c r="E393" i="41" s="1"/>
  <c r="C129" i="41"/>
  <c r="E129" i="41" s="1"/>
  <c r="C100" i="41"/>
  <c r="E100" i="41" s="1"/>
  <c r="J15" i="40" l="1"/>
  <c r="C16" i="41"/>
  <c r="C245" i="41" l="1"/>
  <c r="E245" i="41" s="1"/>
  <c r="L18" i="31" l="1"/>
  <c r="K18" i="31" l="1"/>
  <c r="J18" i="31" l="1"/>
  <c r="J49" i="31" l="1"/>
  <c r="Q248" i="31" l="1"/>
  <c r="P248" i="31"/>
  <c r="O248" i="31"/>
  <c r="N248" i="31"/>
  <c r="M248" i="31"/>
  <c r="L248" i="31"/>
  <c r="K248" i="31"/>
  <c r="J248" i="31"/>
  <c r="I248" i="31"/>
  <c r="E248" i="31"/>
  <c r="I18" i="31" l="1"/>
  <c r="G248" i="31" l="1"/>
  <c r="C22" i="33" s="1"/>
  <c r="H248" i="31"/>
  <c r="R178" i="31" l="1"/>
  <c r="R157" i="31" s="1"/>
  <c r="Q178" i="31"/>
  <c r="Q157" i="31" s="1"/>
  <c r="P178" i="31"/>
  <c r="O178" i="31"/>
  <c r="O157" i="31" s="1"/>
  <c r="N178" i="31"/>
  <c r="N157" i="31" s="1"/>
  <c r="M178" i="31"/>
  <c r="L178" i="31"/>
  <c r="K178" i="31"/>
  <c r="J178" i="31"/>
  <c r="I178" i="31"/>
  <c r="H178" i="31"/>
  <c r="G178" i="31"/>
  <c r="G157" i="31" s="1"/>
  <c r="C248" i="31" l="1"/>
  <c r="C28" i="30" s="1"/>
  <c r="F28" i="30" l="1"/>
  <c r="F22" i="34"/>
  <c r="G142" i="31"/>
  <c r="C15" i="33" s="1"/>
  <c r="C178" i="31" l="1"/>
  <c r="C157" i="31" s="1"/>
  <c r="C256" i="41" s="1"/>
  <c r="E256" i="41" s="1"/>
  <c r="O9" i="31" l="1"/>
  <c r="P9" i="31"/>
  <c r="Q9" i="31"/>
  <c r="R9" i="31"/>
  <c r="O49" i="31"/>
  <c r="O16" i="31" s="1"/>
  <c r="P49" i="31"/>
  <c r="Q49" i="31"/>
  <c r="R49" i="31"/>
  <c r="R16" i="31" s="1"/>
  <c r="O66" i="31"/>
  <c r="O17" i="31" s="1"/>
  <c r="P66" i="31"/>
  <c r="P17" i="31" s="1"/>
  <c r="Q66" i="31"/>
  <c r="Q17" i="31" s="1"/>
  <c r="R66" i="31"/>
  <c r="O74" i="31"/>
  <c r="P74" i="31"/>
  <c r="Q74" i="31"/>
  <c r="R74" i="31"/>
  <c r="O109" i="31"/>
  <c r="P109" i="31"/>
  <c r="Q109" i="31"/>
  <c r="R109" i="31"/>
  <c r="O120" i="31"/>
  <c r="P120" i="31"/>
  <c r="Q120" i="31"/>
  <c r="R120" i="31"/>
  <c r="O130" i="31"/>
  <c r="P130" i="31"/>
  <c r="Q130" i="31"/>
  <c r="R130" i="31"/>
  <c r="O142" i="31"/>
  <c r="P142" i="31"/>
  <c r="Q142" i="31"/>
  <c r="R142" i="31"/>
  <c r="O149" i="31"/>
  <c r="P149" i="31"/>
  <c r="Q149" i="31"/>
  <c r="R149" i="31"/>
  <c r="O169" i="31"/>
  <c r="O155" i="31" s="1"/>
  <c r="P169" i="31"/>
  <c r="Q169" i="31"/>
  <c r="Q155" i="31" s="1"/>
  <c r="R169" i="31"/>
  <c r="R155" i="31" s="1"/>
  <c r="O197" i="31"/>
  <c r="O160" i="31" s="1"/>
  <c r="P197" i="31"/>
  <c r="P160" i="31" s="1"/>
  <c r="Q197" i="31"/>
  <c r="Q160" i="31" s="1"/>
  <c r="R197" i="31"/>
  <c r="O205" i="31"/>
  <c r="P205" i="31"/>
  <c r="Q205" i="31"/>
  <c r="R205" i="31"/>
  <c r="O222" i="31"/>
  <c r="P222" i="31"/>
  <c r="Q222" i="31"/>
  <c r="R222" i="31"/>
  <c r="O233" i="31"/>
  <c r="P233" i="31"/>
  <c r="Q233" i="31"/>
  <c r="R233" i="31"/>
  <c r="R160" i="31" l="1"/>
  <c r="R161" i="31" s="1"/>
  <c r="R252" i="31" s="1"/>
  <c r="R17" i="31"/>
  <c r="R19" i="31" s="1"/>
  <c r="Y67" i="31"/>
  <c r="P155" i="31"/>
  <c r="Q161" i="31"/>
  <c r="O161" i="31"/>
  <c r="O19" i="31"/>
  <c r="Q16" i="31"/>
  <c r="Q19" i="31" s="1"/>
  <c r="P16" i="31"/>
  <c r="P19" i="31" s="1"/>
  <c r="P161" i="31" l="1"/>
  <c r="N222" i="31"/>
  <c r="N205" i="31"/>
  <c r="N197" i="31"/>
  <c r="N160" i="31" s="1"/>
  <c r="N169" i="31"/>
  <c r="N155" i="31" s="1"/>
  <c r="N149" i="31"/>
  <c r="N142" i="31"/>
  <c r="N130" i="31"/>
  <c r="N120" i="31"/>
  <c r="N109" i="31"/>
  <c r="N66" i="31"/>
  <c r="N17" i="31" s="1"/>
  <c r="N49" i="31"/>
  <c r="N16" i="31" s="1"/>
  <c r="N161" i="31" l="1"/>
  <c r="N19" i="31"/>
  <c r="N20" i="31" s="1"/>
  <c r="N9" i="31"/>
  <c r="N74" i="31" l="1"/>
  <c r="M236" i="31" l="1"/>
  <c r="M222" i="31"/>
  <c r="M157" i="31"/>
  <c r="M169" i="31"/>
  <c r="M155" i="31" s="1"/>
  <c r="M149" i="31"/>
  <c r="M142" i="31"/>
  <c r="M130" i="31"/>
  <c r="M120" i="31"/>
  <c r="M109" i="31" l="1"/>
  <c r="M74" i="31"/>
  <c r="M66" i="31"/>
  <c r="M49" i="31"/>
  <c r="M16" i="31" s="1"/>
  <c r="M197" i="31"/>
  <c r="M160" i="31" s="1"/>
  <c r="M205" i="31"/>
  <c r="M9" i="31"/>
  <c r="M161" i="31" l="1"/>
  <c r="M68" i="31"/>
  <c r="M17" i="31"/>
  <c r="M19" i="31" s="1"/>
  <c r="J22" i="34" l="1"/>
  <c r="J25" i="34"/>
  <c r="H22" i="34" l="1"/>
  <c r="H25" i="34"/>
  <c r="D20" i="34"/>
  <c r="D26" i="34" l="1"/>
  <c r="C94" i="31" l="1"/>
  <c r="H92" i="31" l="1"/>
  <c r="H93" i="31"/>
  <c r="C149" i="31" l="1"/>
  <c r="C18" i="30" s="1"/>
  <c r="F18" i="34" s="1"/>
  <c r="H18" i="34" s="1"/>
  <c r="L233" i="31"/>
  <c r="K233" i="31"/>
  <c r="J233" i="31"/>
  <c r="G233" i="31"/>
  <c r="L222" i="31"/>
  <c r="J222" i="31"/>
  <c r="I222" i="31"/>
  <c r="H222" i="31"/>
  <c r="G222" i="31"/>
  <c r="C21" i="33" s="1"/>
  <c r="L205" i="31"/>
  <c r="K205" i="31"/>
  <c r="J205" i="31"/>
  <c r="I205" i="31"/>
  <c r="H205" i="31"/>
  <c r="G205" i="31"/>
  <c r="L197" i="31"/>
  <c r="L160" i="31" s="1"/>
  <c r="K197" i="31"/>
  <c r="K160" i="31" s="1"/>
  <c r="J197" i="31"/>
  <c r="J160" i="31" s="1"/>
  <c r="I197" i="31"/>
  <c r="H197" i="31"/>
  <c r="G197" i="31"/>
  <c r="H157" i="31"/>
  <c r="I157" i="31"/>
  <c r="J157" i="31"/>
  <c r="K157" i="31"/>
  <c r="L157" i="31"/>
  <c r="H169" i="31"/>
  <c r="H155" i="31" s="1"/>
  <c r="I169" i="31"/>
  <c r="I155" i="31" s="1"/>
  <c r="J169" i="31"/>
  <c r="J155" i="31" s="1"/>
  <c r="K169" i="31"/>
  <c r="K155" i="31" s="1"/>
  <c r="L169" i="31"/>
  <c r="L155" i="31" s="1"/>
  <c r="G169" i="31"/>
  <c r="G155" i="31" s="1"/>
  <c r="L149" i="31"/>
  <c r="H149" i="31"/>
  <c r="I149" i="31"/>
  <c r="J149" i="31"/>
  <c r="K149" i="31"/>
  <c r="G149" i="31"/>
  <c r="C16" i="33" s="1"/>
  <c r="H142" i="31"/>
  <c r="I142" i="31"/>
  <c r="J142" i="31"/>
  <c r="K142" i="31"/>
  <c r="L142" i="31"/>
  <c r="H130" i="31"/>
  <c r="I130" i="31"/>
  <c r="J130" i="31"/>
  <c r="K130" i="31"/>
  <c r="L130" i="31"/>
  <c r="H120" i="31"/>
  <c r="I120" i="31"/>
  <c r="J120" i="31"/>
  <c r="K120" i="31"/>
  <c r="L120" i="31"/>
  <c r="G120" i="31"/>
  <c r="H109" i="31"/>
  <c r="I109" i="31"/>
  <c r="J109" i="31"/>
  <c r="K109" i="31"/>
  <c r="L109" i="31"/>
  <c r="G109" i="31"/>
  <c r="H74" i="31"/>
  <c r="I74" i="31"/>
  <c r="J74" i="31"/>
  <c r="K74" i="31"/>
  <c r="L74" i="31"/>
  <c r="G74" i="31"/>
  <c r="H66" i="31"/>
  <c r="H17" i="31" s="1"/>
  <c r="I66" i="31"/>
  <c r="I17" i="31" s="1"/>
  <c r="J66" i="31"/>
  <c r="J17" i="31" s="1"/>
  <c r="K66" i="31"/>
  <c r="K17" i="31" s="1"/>
  <c r="L66" i="31"/>
  <c r="L17" i="31" s="1"/>
  <c r="G66" i="31"/>
  <c r="G17" i="31" s="1"/>
  <c r="H9" i="31"/>
  <c r="I9" i="31"/>
  <c r="J9" i="31"/>
  <c r="K9" i="31"/>
  <c r="L9" i="31"/>
  <c r="G9" i="31"/>
  <c r="H49" i="31"/>
  <c r="H16" i="31" s="1"/>
  <c r="I49" i="31"/>
  <c r="I16" i="31" s="1"/>
  <c r="J16" i="31"/>
  <c r="K49" i="31"/>
  <c r="K16" i="31" s="1"/>
  <c r="L49" i="31"/>
  <c r="L16" i="31" s="1"/>
  <c r="E233" i="31"/>
  <c r="E222" i="31"/>
  <c r="E205" i="31"/>
  <c r="C179" i="31"/>
  <c r="E169" i="31"/>
  <c r="E149" i="31"/>
  <c r="E142" i="31"/>
  <c r="C142" i="31"/>
  <c r="C17" i="30" s="1"/>
  <c r="F19" i="34" s="1"/>
  <c r="L19" i="34" s="1"/>
  <c r="E130" i="31"/>
  <c r="C120" i="31"/>
  <c r="E109" i="31"/>
  <c r="C109" i="31"/>
  <c r="G99" i="31"/>
  <c r="E99" i="31"/>
  <c r="C99" i="31"/>
  <c r="H98" i="31"/>
  <c r="H97" i="31"/>
  <c r="H96" i="31"/>
  <c r="G94" i="31"/>
  <c r="E94" i="31"/>
  <c r="E74" i="31"/>
  <c r="C74" i="31"/>
  <c r="E66" i="31"/>
  <c r="C66" i="31"/>
  <c r="E49" i="31"/>
  <c r="D185" i="41" l="1"/>
  <c r="E185" i="41" s="1"/>
  <c r="G160" i="31"/>
  <c r="G161" i="31" s="1"/>
  <c r="C19" i="33" s="1"/>
  <c r="C20" i="33"/>
  <c r="D245" i="41"/>
  <c r="D284" i="41"/>
  <c r="E284" i="41" s="1"/>
  <c r="I160" i="31"/>
  <c r="I161" i="31" s="1"/>
  <c r="H160" i="31"/>
  <c r="H161" i="31" s="1"/>
  <c r="C186" i="41"/>
  <c r="C17" i="31"/>
  <c r="C30" i="41" s="1"/>
  <c r="E30" i="41" s="1"/>
  <c r="C150" i="31"/>
  <c r="C151" i="31" s="1"/>
  <c r="C121" i="31"/>
  <c r="C122" i="31" s="1"/>
  <c r="C75" i="31"/>
  <c r="C76" i="31" s="1"/>
  <c r="C143" i="31"/>
  <c r="C144" i="31" s="1"/>
  <c r="C110" i="31"/>
  <c r="C111" i="31" s="1"/>
  <c r="C10" i="31"/>
  <c r="C11" i="31" s="1"/>
  <c r="C205" i="31"/>
  <c r="C25" i="30" s="1"/>
  <c r="C197" i="31"/>
  <c r="J161" i="31"/>
  <c r="C169" i="31"/>
  <c r="C233" i="31"/>
  <c r="L161" i="31"/>
  <c r="K161" i="31"/>
  <c r="E100" i="31"/>
  <c r="C100" i="31"/>
  <c r="I19" i="31"/>
  <c r="K19" i="31"/>
  <c r="L19" i="31"/>
  <c r="J19" i="31"/>
  <c r="H19" i="31"/>
  <c r="G100" i="31"/>
  <c r="H99" i="31"/>
  <c r="H94" i="31"/>
  <c r="E161" i="31"/>
  <c r="E29" i="30" l="1"/>
  <c r="E31" i="30" s="1"/>
  <c r="E24" i="30"/>
  <c r="C155" i="31"/>
  <c r="C254" i="41" s="1"/>
  <c r="E254" i="41" s="1"/>
  <c r="C160" i="31"/>
  <c r="C259" i="41" s="1"/>
  <c r="E259" i="41" s="1"/>
  <c r="D186" i="41"/>
  <c r="E186" i="41" s="1"/>
  <c r="D32" i="41"/>
  <c r="E19" i="31"/>
  <c r="C32" i="29"/>
  <c r="J19" i="34"/>
  <c r="H19" i="34"/>
  <c r="H16" i="34" s="1"/>
  <c r="C234" i="31"/>
  <c r="C235" i="31" s="1"/>
  <c r="C206" i="31"/>
  <c r="C86" i="31"/>
  <c r="C87" i="31" s="1"/>
  <c r="H100" i="31"/>
  <c r="C19" i="30"/>
  <c r="C161" i="31" l="1"/>
  <c r="C24" i="30" s="1"/>
  <c r="C260" i="41"/>
  <c r="E260" i="41" s="1"/>
  <c r="J24" i="34"/>
  <c r="H24" i="34"/>
  <c r="C34" i="29"/>
  <c r="J17" i="34"/>
  <c r="J16" i="34" s="1"/>
  <c r="F16" i="34"/>
  <c r="L16" i="34" s="1"/>
  <c r="F24" i="30" l="1"/>
  <c r="F21" i="34"/>
  <c r="C162" i="31"/>
  <c r="C163" i="31" s="1"/>
  <c r="K222" i="31"/>
  <c r="C222" i="31"/>
  <c r="C26" i="30" s="1"/>
  <c r="F26" i="30" l="1"/>
  <c r="F23" i="34"/>
  <c r="C29" i="30"/>
  <c r="C31" i="30" s="1"/>
  <c r="G16" i="31"/>
  <c r="G19" i="31" s="1"/>
  <c r="F23" i="32" l="1"/>
  <c r="G23" i="32"/>
  <c r="J23" i="34"/>
  <c r="G129" i="31" l="1"/>
  <c r="C129" i="31"/>
  <c r="G130" i="31"/>
  <c r="H23" i="34"/>
  <c r="C49" i="31" l="1"/>
  <c r="C16" i="31" l="1"/>
  <c r="C29" i="41" s="1"/>
  <c r="E29" i="41" s="1"/>
  <c r="E32" i="41" s="1"/>
  <c r="C50" i="31"/>
  <c r="C19" i="31" l="1"/>
  <c r="C51" i="31"/>
  <c r="C20" i="29" l="1"/>
  <c r="C20" i="31"/>
  <c r="C21" i="31" s="1"/>
  <c r="C32" i="41"/>
  <c r="F20" i="34" l="1"/>
  <c r="F26" i="34" s="1"/>
  <c r="H21" i="34"/>
  <c r="H20" i="34" s="1"/>
  <c r="J21" i="34"/>
  <c r="J20" i="34" s="1"/>
  <c r="J26" i="34" s="1"/>
  <c r="D25" i="32"/>
  <c r="C130" i="31" l="1"/>
  <c r="C131" i="31" s="1"/>
  <c r="C132" i="31" s="1"/>
  <c r="C218" i="41" l="1"/>
  <c r="E218" i="41" s="1"/>
  <c r="D147" i="41" l="1"/>
  <c r="E152" i="41"/>
  <c r="D152" i="41"/>
  <c r="D153" i="41" l="1"/>
  <c r="E153" i="41"/>
  <c r="F147" i="41" l="1"/>
  <c r="C147" i="41"/>
  <c r="F150" i="41" l="1"/>
  <c r="F152" i="41" s="1"/>
  <c r="F153" i="41" s="1"/>
  <c r="C152" i="41"/>
  <c r="C153" i="41" s="1"/>
  <c r="C24" i="29" l="1"/>
  <c r="C26" i="29" s="1"/>
  <c r="D33" i="33"/>
  <c r="C18" i="33" l="1"/>
  <c r="C23" i="33" s="1"/>
  <c r="C31" i="33" s="1"/>
  <c r="C33" i="33" s="1"/>
  <c r="F24" i="32"/>
  <c r="G22" i="32"/>
  <c r="G24" i="32" s="1"/>
  <c r="C40" i="29"/>
  <c r="C42" i="29" l="1"/>
</calcChain>
</file>

<file path=xl/sharedStrings.xml><?xml version="1.0" encoding="utf-8"?>
<sst xmlns="http://schemas.openxmlformats.org/spreadsheetml/2006/main" count="6459" uniqueCount="2616">
  <si>
    <t>Servicio Nacional de Salud</t>
  </si>
  <si>
    <t>Servicio Regional de Salud Metropolitano</t>
  </si>
  <si>
    <t>Ciudad Sanitaria Dr. Luis E. Aybar</t>
  </si>
  <si>
    <t>( VALORES ES RD$)</t>
  </si>
  <si>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</si>
  <si>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</si>
  <si>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</si>
  <si>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</si>
  <si>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</si>
  <si>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</si>
  <si>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</si>
  <si>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</si>
  <si>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</si>
  <si>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</si>
  <si>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</si>
  <si>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</si>
  <si>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</si>
  <si>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</si>
  <si>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</si>
  <si>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</si>
  <si>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</si>
  <si>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</si>
  <si>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</si>
  <si>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</si>
  <si>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</si>
  <si>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</si>
  <si>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</si>
  <si>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</si>
  <si>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*</t>
  </si>
  <si>
    <t>.</t>
  </si>
  <si>
    <t>Estado de Rendimiento Financiero</t>
  </si>
  <si>
    <t xml:space="preserve">                                                     (VALORES EN RD$)</t>
  </si>
  <si>
    <t>Ingresos (Notas 15 Y 16)</t>
  </si>
  <si>
    <t>Ingresos por Transacciones con Contraprestacion</t>
  </si>
  <si>
    <t>Tranferencias y Donaciones</t>
  </si>
  <si>
    <t>Total Ingresos</t>
  </si>
  <si>
    <t>Gastos (Notas 17, 18, 19, 20 y 21)</t>
  </si>
  <si>
    <t>Sueldos, Salarios y Beneficiarios a Empleados</t>
  </si>
  <si>
    <t>Subvenciones y Otros Pagos por Tranferencia</t>
  </si>
  <si>
    <t>Suministros y Material para Consumo</t>
  </si>
  <si>
    <t>Depreciacion y Amortizaciones</t>
  </si>
  <si>
    <t>Otros Gastos</t>
  </si>
  <si>
    <t>Total de Gastos</t>
  </si>
  <si>
    <t>Resultado del Periodo (Ahorro/Desahorro)</t>
  </si>
  <si>
    <t xml:space="preserve">       Gerente  Administrativa y Financiera</t>
  </si>
  <si>
    <t>Estado de Cambio de Activo Neto / Patrimonio</t>
  </si>
  <si>
    <t>Capital Aportado</t>
  </si>
  <si>
    <t>Cambios en Politicas Contables</t>
  </si>
  <si>
    <t>Revaluacion</t>
  </si>
  <si>
    <t>Resultados Acumulados</t>
  </si>
  <si>
    <t>Total Activos Netos / Patrimonio</t>
  </si>
  <si>
    <t>Ajuste al Patrimonio</t>
  </si>
  <si>
    <t>Resultado del Periodo</t>
  </si>
  <si>
    <t>Cambio en Politicas Contables</t>
  </si>
  <si>
    <t>Licda. Teodora Raquel Cordero Nuñez</t>
  </si>
  <si>
    <t>Gerente Administrativa y Financiera</t>
  </si>
  <si>
    <t>`</t>
  </si>
  <si>
    <t xml:space="preserve">  </t>
  </si>
  <si>
    <t>Estado de Flujo de Efectivo</t>
  </si>
  <si>
    <t>Flujo de Efectivo procedentes de actividades operativas:</t>
  </si>
  <si>
    <t>Cobros por venta de bienes y servicios y arrendamientos</t>
  </si>
  <si>
    <t>Cobros de Subvenciones, transferencias y otras asignaciones</t>
  </si>
  <si>
    <t>Incremento Activo</t>
  </si>
  <si>
    <t>Pagos a los trabajadores o en beneficio de ellos</t>
  </si>
  <si>
    <t>Pagos por contribuciones a la seguridad social</t>
  </si>
  <si>
    <t>Pagos a Proveedores</t>
  </si>
  <si>
    <t>Otros Pagos</t>
  </si>
  <si>
    <t>Flujos de efectivo netos de las actividades de operacion</t>
  </si>
  <si>
    <t>Flujos de efectivo de las Actividades de inversión</t>
  </si>
  <si>
    <t>Pagos por adquisicion de propiedad, planta y equipo</t>
  </si>
  <si>
    <t>Pagos por adquisicion de intangibles y otros activos de largo plazo</t>
  </si>
  <si>
    <t>Otros pagos</t>
  </si>
  <si>
    <t>Flujos netos por las actividades por las actividades de inversión</t>
  </si>
  <si>
    <t>Incremento/(Diminucion) neta en el efectivo y equivalente al efectivo</t>
  </si>
  <si>
    <t>Efectivo y equivalentes al efectivo al principio del periodo</t>
  </si>
  <si>
    <t>Efectivo y equivalentes al efectivo al final del periodo</t>
  </si>
  <si>
    <t xml:space="preserve">   Lic. Teodora Raquel Cordero Nuñez                                              </t>
  </si>
  <si>
    <t>Gerente Administrativo y Finandiera</t>
  </si>
  <si>
    <t xml:space="preserve">                                      Dr. Felix Valdez Suero</t>
  </si>
  <si>
    <t xml:space="preserve">                                       Director General</t>
  </si>
  <si>
    <t>Estado de Comparacion de los Importes Presupuestados y Realizados</t>
  </si>
  <si>
    <t>Presupuesto sobre la Base de Efectivo</t>
  </si>
  <si>
    <t>(Clasificacion de Ingresos y Gastos por Objeto)</t>
  </si>
  <si>
    <t>Concepto</t>
  </si>
  <si>
    <t>Presupuesto Reformado (A)</t>
  </si>
  <si>
    <t>Presupuesto Ejecutado (B)</t>
  </si>
  <si>
    <t>% de Variacion Ejecuccion (C=B/A)</t>
  </si>
  <si>
    <t>Variacion (D=A-B)</t>
  </si>
  <si>
    <t>Ingresos totales</t>
  </si>
  <si>
    <t>Gastos totales</t>
  </si>
  <si>
    <t>Remuneraciones y contribuciones</t>
  </si>
  <si>
    <t>Contratacion de servicios</t>
  </si>
  <si>
    <t>Materiales y suministros</t>
  </si>
  <si>
    <t>Transferencias corrientes</t>
  </si>
  <si>
    <t>Bienes muebles, inmuebles e intangibles</t>
  </si>
  <si>
    <t>Resultado financiero (1-2)</t>
  </si>
  <si>
    <t xml:space="preserve">      Gerente Administrativa y Financiera</t>
  </si>
  <si>
    <t>Nota # 1  Entidad Económica</t>
  </si>
  <si>
    <t xml:space="preserve">                      HISTORIA DEL CENTRO CARDIO NEURO-OFTALMOLOGICO Y TRASPLANTE  (cecanot)</t>
  </si>
  <si>
    <t xml:space="preserve">En el marco de impulsar el ejercicio, avance y desarrollo de la medicina en el país, así como el sustento de su practica, </t>
  </si>
  <si>
    <t>el Hospital "Dr. Luís Eduardo Aybar" el cual fue inaugurado el 20 de abril del año 1946, ha jugado un papel transcedental, siendo</t>
  </si>
  <si>
    <t>el Hospital Universitario de mayor cobertura asistencial, docente y de investigación de la Republica Dominicana.</t>
  </si>
  <si>
    <t>El Hospital " Dr. Luís Eduardo Aybar" en su afán tesonero de continuar a la vanguardia de sus servicios y fomación de recursos en</t>
  </si>
  <si>
    <t>salud, ha provocado la toma de conciencia al interior de las autoridades de Salud Pública,  de la necesidad de crear centros de</t>
  </si>
  <si>
    <t>asistencia especializados, con el auxilio y la asistencia de las últimas innovaciones tecnologicas y cientificas que satisfagan las</t>
  </si>
  <si>
    <t>carencias de la ciuidadanía.</t>
  </si>
  <si>
    <t xml:space="preserve">Atendiendo a esa objetiva realidad en el seno de un grupo de médicos científicos del Hospital Aybar, se visualizó la idea  de </t>
  </si>
  <si>
    <t>adecuar un nuevo ejercicio de acciones medico con la creación de un sofisticado centro de Oftalmología y Neurologia. Estos</t>
  </si>
  <si>
    <t>científicos pioneros del hoy CECANOT  estuvieron representados por el Dr. Manuel Eduardo Valdez Guerrero.</t>
  </si>
  <si>
    <t>A partir del 22 de abril del 2008 se pone en funcionamiento el Centro Cardio Neuro-Oftalmológico y trasplante (CECANOT), centro</t>
  </si>
  <si>
    <t>especializado para la Satisfacción y Significativa utilidad tanto para las presentes como para las futuras generaciones.</t>
  </si>
  <si>
    <t>CECANOT es uno de los centros que integra la ciudad sanitaria 'Dr. Luís Eduardo Aybar", el cual tiene como objetivo fundamental</t>
  </si>
  <si>
    <t>brindarle servicios de cirugía, oftalmología y trasplante a la población que requieran los mismos, en las especialidades medicas</t>
  </si>
  <si>
    <t>de cirugía cardiovascular, reurocirugía, oftalmología, hemodiálisis y  trasplante.</t>
  </si>
  <si>
    <t>Este centro ofrece asistencias de consultas a pacientes ambulatorios y hospitalizados, servicios de internamiento pre y post qui -</t>
  </si>
  <si>
    <t>rúrgicos y cuidados intensivos (UCI).</t>
  </si>
  <si>
    <t>CECANOT se caracteriza por brindar servicios quirúrgicos especializados con procedimientos técnicos de alta calidad que por sus</t>
  </si>
  <si>
    <t>elevados precios están vedados a una mayoría del pueblo dominicano y entre otras vertientes contribuir a la educacion, formacion</t>
  </si>
  <si>
    <t>e investigación científica de médicos especializados y residentes en las diferentes áreas  que maneja el centro.</t>
  </si>
  <si>
    <t>Misión: Brindar servicios de salud especializados con calidad, a todos los ciudadanos en igualdad de condiciones</t>
  </si>
  <si>
    <t>Visión: Ser el mejor centro especializado en servicios quirúrgicos y trasplante del Caribe,</t>
  </si>
  <si>
    <t>Filosofía Institucional: Ofrecer servicios humanizados, con optimización, equidad y equipos de alta tecnología a todo</t>
  </si>
  <si>
    <t>el ciudadano que lo necesite.</t>
  </si>
  <si>
    <t>Objetivos Especificos:</t>
  </si>
  <si>
    <t>Conservar incrementar el nivel de calidad de la atención brindada.</t>
  </si>
  <si>
    <t xml:space="preserve">Optimizar los servicios de las diferentes especialidades mediante la adquisición de nueva Tecnología en cuanto a </t>
  </si>
  <si>
    <t>equipos médicos se refiere.</t>
  </si>
  <si>
    <t>Continuar con los operativos médicos en todo el territorio nacional.</t>
  </si>
  <si>
    <t>MARCO LEGAL</t>
  </si>
  <si>
    <t>El mismo obedece a las pautas y normas consignadas en las leyes y reglas del área de salud y del ámbito público administrativo.</t>
  </si>
  <si>
    <t>Estas leyes y normas que pautan el accionar legal del Centro Cardio Neuro-Oftalmológico y Trasplante son las siguientes:</t>
  </si>
  <si>
    <t>Ley Orgánica de la Secretaría de Estado No. 4378 del 10 de febrero del 1956</t>
  </si>
  <si>
    <t>Ley General de Salud (Ley No. 42-01) de fecha 8 de marzo del 2001, puesta en vigencia 8 de septiembre del 2001.</t>
  </si>
  <si>
    <t>Ley de Seguridad Social No. 87-01 de fecha 5 de abril del año 2001.</t>
  </si>
  <si>
    <t>Ley No. 68-03 de fecha 19 de febrero del 2003, que crea el Colegio Médico Dominicano.</t>
  </si>
  <si>
    <t>Ley No. 41-08 de Función Pública y crea la Secretaría de Estado de Administración Pública de fecha 16 de enero del 2008.</t>
  </si>
  <si>
    <t>Deroga las leyes No. 14-91 de Servicio Civil y Carrera Administrativa y la ley 120-01 sobre el código de Etica del Servidor Publico.</t>
  </si>
  <si>
    <t>Decreto No. 1110-01 de fecha 8 de noviembre del 2001 que crea la Ciudad Sanitaria "Luís Eduardo Aybar".</t>
  </si>
  <si>
    <t>Decreto No. 434-07 que establece el Reglamento General de los Centros Especializados de Atención en Salud de las redes</t>
  </si>
  <si>
    <t>Públicas, deroga el Reglamento No. 9033 para la aplicación de la Ley de Organización del Cuerpo Médico de los Hospitales y el</t>
  </si>
  <si>
    <t>Reglamento No. 351-99 que  crea el Reglamento de Hospitales y sus Modificaciones.</t>
  </si>
  <si>
    <t>Decreto 173-08 de fecha 24 de marzo del 2008, que denomina Centro Cardio Neuro-Oftalmológico y Trasplante de la Ciudad</t>
  </si>
  <si>
    <t>Sanitaria "Dr. Luís E. Aybar", a la unidad de cirugía Centro Cardio-Neuro Oftalmológico.</t>
  </si>
  <si>
    <t>Actualmente la gestión del CECANOT está compuesta por las siguientes autoridades:</t>
  </si>
  <si>
    <t>Director General</t>
  </si>
  <si>
    <t>Dr. Francisco Felipe</t>
  </si>
  <si>
    <t>Sub-Director General</t>
  </si>
  <si>
    <t>Administrador</t>
  </si>
  <si>
    <t>Nota # 2  Base de Presentación</t>
  </si>
  <si>
    <t>Los Estados Financieros han sido preparados de conformidad con las normas internacionales de Contabilidad del Sector Público</t>
  </si>
  <si>
    <t>(NICSP), adoptadas por la Dirección General de Contabilidad Gubernamental de la República Dominicana (Digecog).</t>
  </si>
  <si>
    <t>El Centro  Cardio  Neuro-Oftalmológico  y  Trasplante  (CECANOT) presenta su presupuesto aprobado según la base contable de</t>
  </si>
  <si>
    <t>efectivo y los  Estados  Financieros  sobre la base de acumulación (o devengo), conforme a las estipulaciones de las NICESP 24</t>
  </si>
  <si>
    <t>"Presentación de Información del Presupuesto en los Estados Financieros"</t>
  </si>
  <si>
    <t>El presupuesto se aprueba según la base contable de efectivo siguiendo una clasificación de pago por funciones. El presupuesto</t>
  </si>
  <si>
    <t>aprobado cubre el período fiscal que va desde el 1 de enero hasta el 30 de junio del 2020 y es incluído como información Suple -</t>
  </si>
  <si>
    <t>mentaria en los Estados Financieros y sus Notas correspondientes al corte semestral 2021.</t>
  </si>
  <si>
    <t>La emisión y aprobación final de los Estados Financieros debe ser autorizada por el funcionario de más alto nivel.</t>
  </si>
  <si>
    <t>Nota # 3  Moneda Funcional y de Presentación</t>
  </si>
  <si>
    <t>Los Estados Financieros están presentados en pesos dominicanos (RD$)  moneda de curso legal en República Dominicana.</t>
  </si>
  <si>
    <t>Nota # 4  Uso de Estimados y Juicios</t>
  </si>
  <si>
    <t>La preparación de los Estados Financieros de Conformidad con las NICSP requiere que la administración realice juicios estimacio-</t>
  </si>
  <si>
    <t>nes y supuestos que afectan la aplicación de las Políticas Contables y los montos de activos,pasivos,ingresos y gastos reportados.</t>
  </si>
  <si>
    <t>Los resultados reales pueden diferir de estas estimaciones.</t>
  </si>
  <si>
    <t>Las estimaciones  y  supuestos  relevantes  son  revisados  regularmente, las cuales  son   reconocidas  prospectivamente.</t>
  </si>
  <si>
    <t>Juicios</t>
  </si>
  <si>
    <t>La información sobre juicios realizados en la aplicación de Políticas Contables que tienen el efecto más importante sobre los</t>
  </si>
  <si>
    <t>montos reconocidos en el Estado de Rendimientos Financiero se describe en la Nota referente a gastos generales y administrati -</t>
  </si>
  <si>
    <t>vos (Alquileres); se determina si un acuerdo contiene un arrendamiento y su clasificación.</t>
  </si>
  <si>
    <t>Supuesto e Incertidumbre en las Estimaciones</t>
  </si>
  <si>
    <t xml:space="preserve">La información sobre los supuestos e incertidumbre de estimación que tiene un riesgo significativo de resultar en un ajuste </t>
  </si>
  <si>
    <t xml:space="preserve">material en el corte semestral del 30 de junio de 2021 y 2020 se incluye en la Nota referente a compromisos y contingencias;       </t>
  </si>
  <si>
    <t xml:space="preserve">reconocimiento y medición de contingencias; supuestos claves relacionados con la probabilidad y magnitud de una salida de </t>
  </si>
  <si>
    <t>recursos economicos.</t>
  </si>
  <si>
    <t>Medición de los Valores Razonables.</t>
  </si>
  <si>
    <t xml:space="preserve">La entidad cuenta con un marco de control establecido en relación con el calculo de los valores razonables y tiene la responsabi -     </t>
  </si>
  <si>
    <t>lidad general por la supervisión de todas las mediciones significativas de este, incluyendo los de Niveles 3.</t>
  </si>
  <si>
    <t xml:space="preserve">Cuando se mide el valor razonable de un activo o pasivo, el Centro Cardio Neuro-Oftalmológico y Trasplante (CECANOT) utiliza        </t>
  </si>
  <si>
    <t>siempre que sea posible, precios cotizados en un mercado activo.</t>
  </si>
  <si>
    <t xml:space="preserve">Si el mercado para un activo o pasivo no es activo, la entidad establecerá el valor razonable utilizando una técnica de valoración.  </t>
  </si>
  <si>
    <t>Con esta se busca establecer cual será el precio de una transacción realizada a la fecha de medición.</t>
  </si>
  <si>
    <t>Los valores se clasifican en niveles distintos dentro de una jerarquía como sigue:</t>
  </si>
  <si>
    <t>Nivel 1: Precios (no-ajustados) en mercados activos para activos o pasivos idénticos.</t>
  </si>
  <si>
    <t xml:space="preserve">Nivel 2:  Datos diferentes de los precios cotizados incluídos en el Nivel 1 que sean observados para el activo o pasivo, ya sea          </t>
  </si>
  <si>
    <t>directa (precios) o indirectamente (derivados de los precios).</t>
  </si>
  <si>
    <t>Nivel 3:  Datos para el activo o pasivo que no se basan en datos de mercados observables (variables no observables).</t>
  </si>
  <si>
    <t>Si las variables usadas para medir el valor razonable de un activo o pasivo pueden clasificarse en niveles distintos de la jerarquía</t>
  </si>
  <si>
    <t xml:space="preserve">del valor razonable, entonces la medición se clasifica en su totalidad en el mismo nivel de la jerarquía que la variable de nivel </t>
  </si>
  <si>
    <t>mas bajo que sea significativa para la medición total.</t>
  </si>
  <si>
    <t xml:space="preserve">El Centro Cardio Neuro-Oftalmológico y Trasplante (CECANOT) reconoce las transferencias entre los niveles de la jerarquía del      </t>
  </si>
  <si>
    <t>valor razonable al final del periodo sobre el que se informa durante el que ocurrió el cambio.</t>
  </si>
  <si>
    <t>Nota # 5 Base de Medición</t>
  </si>
  <si>
    <t xml:space="preserve">Los Estados Financieros se elaboran sobre la base del costo histórico, a excepción de los terrenos y edificios los cuales son </t>
  </si>
  <si>
    <t>son valuados mediante tasaciones realizadas por un experto externo.</t>
  </si>
  <si>
    <t>Nota # 6  Resumen de Políticas Contables Significativas</t>
  </si>
  <si>
    <t>Aquí se detalla todo lo relacionado con las principales Políticas Contables significativas como podría ser, sin que esta enumera -</t>
  </si>
  <si>
    <t>cion se considere limitativa.</t>
  </si>
  <si>
    <t>Disponibilidades</t>
  </si>
  <si>
    <t xml:space="preserve">La moneda de curso legal es el Peso Dominicano (RD$) y se expresa a su valor nominal.  Por otra parte la moneda extranjera se </t>
  </si>
  <si>
    <t xml:space="preserve">valua por la tasa de cambio para la compra vigente, al momento de cada transacción y al cierre de cada ejercicio, por su cotiza -      </t>
  </si>
  <si>
    <t>cion al tipo de cambio comprado a esa fecha.</t>
  </si>
  <si>
    <t>Inversiones Financieras</t>
  </si>
  <si>
    <t xml:space="preserve">La adquisición de Titulos y Valores Negociables se registraran por su valor de costo o adquisición a la fecha de presentación de    </t>
  </si>
  <si>
    <t>los Estados Financieros, se deben valuar a su valor de costo.</t>
  </si>
  <si>
    <t xml:space="preserve">Las inversiones a plazo fijo o indefinidos,no vencidos al ciere del ejercicio fiscal, se valúan por su valor nominal más los intereses </t>
  </si>
  <si>
    <t>devengado hasta la fecha.</t>
  </si>
  <si>
    <t>Cuentas y Documentos por Cobrar</t>
  </si>
  <si>
    <t xml:space="preserve">Las cuentas y documentos por cobrar a corto plazo son valuados conforme a las acreencias que tenga la entidad económica hacia   </t>
  </si>
  <si>
    <t>los terceros,según surjan de los derechos u obligaciones resultantes de cada transacción.</t>
  </si>
  <si>
    <t>Bienes de Cambio en General</t>
  </si>
  <si>
    <t xml:space="preserve">Los bienes de cambio o de consumo se valúan al costo de adquisición producción en que se incurre, para obtener el bién. El costo </t>
  </si>
  <si>
    <t xml:space="preserve">de adquisicion está constituido por los montos de las erogaciones efectuadas para su compra o producción y todos los gastos         </t>
  </si>
  <si>
    <t>incurridos para situarlos en el lugar de destino, ajustado a las condiciones de su uso o venta.</t>
  </si>
  <si>
    <t>Los costos por intereses relacionados con el financiamiento de la adquisición o producción del bién, no forman parte del costo</t>
  </si>
  <si>
    <t>del mismo. Por otra parte, las bonificaciones (descuentos) por pronto pago son consideradas al determinar el costo de los mismos.</t>
  </si>
  <si>
    <t>Bienes de  Uso y Depreciación</t>
  </si>
  <si>
    <t xml:space="preserve">Las inversiones en bienes de uso se valúan por su costo de adquisición,de construcción o por un valor equivalente costo corriente   </t>
  </si>
  <si>
    <t xml:space="preserve">cuando se reciben sin contraprestación.El costo de adquisición incluye el precio neto pagado por los bienes, más todos los gastos </t>
  </si>
  <si>
    <t>necesarios para colocar el bién en lugar y condiciones de uso.</t>
  </si>
  <si>
    <t xml:space="preserve">Los costos de construcción incluyen los costos directos e indirectos, incluyendo los costos de administración de la obra, incurridos </t>
  </si>
  <si>
    <t>y devengados durante el periodo efectivo de la construción.</t>
  </si>
  <si>
    <t xml:space="preserve">Los bienes recibidos en donación son contabilizados a valor corriente, representado por el importe de efectivo y otras partidas    </t>
  </si>
  <si>
    <t>equivalentes, que debería pagarse para adquirirlo en las condiciones en que se encuentren.</t>
  </si>
  <si>
    <t>Los bienes adquiridos en monedas extranjeras se registran al tipo de cambio vigente a la fecha de la adquisición.</t>
  </si>
  <si>
    <t xml:space="preserve">Los costos de mejoras, reparaciones mayores y rehabilitaciones que extienden la vida útil de los Bienes de Uso, se capitalizan en  </t>
  </si>
  <si>
    <t xml:space="preserve">forma conjunta con el bién existente o por separado cuando sea aconsejable, de acuerdo con la naturaleza de la operación  reali-    </t>
  </si>
  <si>
    <t>zada y del bien que se trate.</t>
  </si>
  <si>
    <t>Los bienes inmuebles son contabilizados de acuerdo con la última valuación fiscal conocida, y de no resultar factible su obtención</t>
  </si>
  <si>
    <t>se recurrira a su tasación.</t>
  </si>
  <si>
    <r>
      <t xml:space="preserve">El método de cálculo para el registro de la </t>
    </r>
    <r>
      <rPr>
        <b/>
        <sz val="12"/>
        <color theme="1"/>
        <rFont val="Calibri"/>
        <family val="2"/>
        <scheme val="minor"/>
      </rPr>
      <t>Depreciación es el de Linea Recta</t>
    </r>
    <r>
      <rPr>
        <sz val="12"/>
        <color theme="1"/>
        <rFont val="Calibri"/>
        <family val="2"/>
        <scheme val="minor"/>
      </rPr>
      <t xml:space="preserve">, adoptado como método general aplicable a todo el </t>
    </r>
  </si>
  <si>
    <t xml:space="preserve">Sector Publico, a los fines de su consolidacion. El uso de este método representa la distribución sistemática y racional del costo    </t>
  </si>
  <si>
    <t xml:space="preserve">total de cada partida del activo fijo tangible,durante el periodo de su aprovechamiento económico,el mismo será aplicado a todos    </t>
  </si>
  <si>
    <t>los bienes de uso de dominio publico con excepción de los terrenos.</t>
  </si>
  <si>
    <t>Bienes Intangibles</t>
  </si>
  <si>
    <t>Estas partidas de los activos no corrientes se registran por su valor de adquisición o su valor corriente cuando no existe contra--</t>
  </si>
  <si>
    <t>prestacion, como es el caso de la donación.</t>
  </si>
  <si>
    <r>
      <t xml:space="preserve">Para la </t>
    </r>
    <r>
      <rPr>
        <b/>
        <sz val="12"/>
        <color theme="1"/>
        <rFont val="Calibri"/>
        <family val="2"/>
        <scheme val="minor"/>
      </rPr>
      <t>Depreciación</t>
    </r>
    <r>
      <rPr>
        <sz val="12"/>
        <color theme="1"/>
        <rFont val="Calibri"/>
        <family val="2"/>
        <scheme val="minor"/>
      </rPr>
      <t xml:space="preserve"> de esta categoría de bienes se aplica el mismo método de linea recta.</t>
    </r>
  </si>
  <si>
    <t>Inversiones Corrientes e Inversiiones a Largo Plazo</t>
  </si>
  <si>
    <t xml:space="preserve">Las inversiones con cotización  en mercados de valores y las participaciones permanentes en sociedades en la que se ejerza </t>
  </si>
  <si>
    <t xml:space="preserve">influencia signifiativa,se valuarán a sus respectivas cotizaciones a la fecha de cierre del periodo,exceptuando los gastos </t>
  </si>
  <si>
    <t>estimados de venta e impuestos.</t>
  </si>
  <si>
    <t xml:space="preserve">Cuando se trate de participaciones permanentes en las que se ejerza control o influencia significativa en las decisiones, se            </t>
  </si>
  <si>
    <t>valuaran a su valor patrimonial proporcional.</t>
  </si>
  <si>
    <t xml:space="preserve">Si el poder Ejecutivo, realiza transferencias de capital a instituciones del Gobierno Central, sin tenerse el detalle del tipo de           </t>
  </si>
  <si>
    <t>inversion realizada, seran catalogadas como un componente del activo fijo, sujetas a conciliación y reclasificación.</t>
  </si>
  <si>
    <t xml:space="preserve">Asimismo, si durante el periodo se realizan transferencias de capital a instituciones descentralizadas y empresas públicas, estas     </t>
  </si>
  <si>
    <t xml:space="preserve">seran clasificadas y registradas como Participaciones y Aportes de Capital, sujetas a verificación a través de la consolidación de      </t>
  </si>
  <si>
    <t>los Estados Financieros.</t>
  </si>
  <si>
    <t>Normas de Valuación de Pasivos y Patrimonio</t>
  </si>
  <si>
    <t>Deudas</t>
  </si>
  <si>
    <t xml:space="preserve">Los pasivos por concepto de deudas se contabilizan por el valor de los bienes adquiridos y los servicios recibidos, deduciendo los   </t>
  </si>
  <si>
    <t>descuentos comerciales obtenidos, si aplican.</t>
  </si>
  <si>
    <t xml:space="preserve">Los pasivos asumidos por concepto de préstamos en efectivo por la colocación de títulos de deuda pública y por contratos de        </t>
  </si>
  <si>
    <t xml:space="preserve">prestamos con Organismos Internacionales, Bilaterales y Multilaterales de Crédito, son registrados por el importe del valor nomi-    </t>
  </si>
  <si>
    <t>nal de los titulos colocados y por los tramos efectivamente desembolsados de los contratos de préstamos suscritos.</t>
  </si>
  <si>
    <t xml:space="preserve">Los pasivos en moneda extranjera se valúan de acuerdo con la cotización de la moneda de que se trate, o al tipo de cambio               </t>
  </si>
  <si>
    <t xml:space="preserve">comprado a la fecha del ingreso de los fondos.  Al cierre del ejercicio contable los montos no pagados o pendientes de pago se     </t>
  </si>
  <si>
    <t>ajustan a la cotizacion de la moneda vigente a esa fecha.</t>
  </si>
  <si>
    <t>Pasivo Diferidos</t>
  </si>
  <si>
    <t xml:space="preserve">Los pasivos diferidos están valuados al valor nominal de los anticipos recibidos por obligaciones que deberán cumplirse en </t>
  </si>
  <si>
    <t>ejercicios siguientes.</t>
  </si>
  <si>
    <t>Provisiones</t>
  </si>
  <si>
    <t xml:space="preserve">Las provisiones se determinan como el resultado de estimaciiones basadas en la experiencia sobre la incobrabilidad o riesgo del </t>
  </si>
  <si>
    <t>rubro de que se trate.</t>
  </si>
  <si>
    <t>Patrimonio</t>
  </si>
  <si>
    <r>
      <t xml:space="preserve">La partida de Patrimonio está conformada por el rubro de </t>
    </r>
    <r>
      <rPr>
        <b/>
        <sz val="12"/>
        <color theme="1"/>
        <rFont val="Calibri"/>
        <family val="2"/>
        <scheme val="minor"/>
      </rPr>
      <t xml:space="preserve">Patrimonio Público Dominicano, </t>
    </r>
    <r>
      <rPr>
        <sz val="12"/>
        <color theme="1"/>
        <rFont val="Calibri"/>
        <family val="2"/>
        <scheme val="minor"/>
      </rPr>
      <t xml:space="preserve">derivada de la diferencia entre </t>
    </r>
  </si>
  <si>
    <t xml:space="preserve">total del activo y del pasivo de la entidad económica denominada "Gobierno Central", más el ahorro o desahorro acumulado         </t>
  </si>
  <si>
    <t>proveniente de los sucesivos ejercicios fiscales, así como las donaciones y contribuciones de capital internas y externas recibidas</t>
  </si>
  <si>
    <r>
      <t xml:space="preserve">el </t>
    </r>
    <r>
      <rPr>
        <b/>
        <sz val="12"/>
        <color theme="1"/>
        <rFont val="Calibri"/>
        <family val="2"/>
        <scheme val="minor"/>
      </rPr>
      <t>Patrimonio Instituccional</t>
    </r>
    <r>
      <rPr>
        <sz val="12"/>
        <color theme="1"/>
        <rFont val="Calibri"/>
        <family val="2"/>
        <scheme val="minor"/>
      </rPr>
      <t xml:space="preserve"> proveniente de las instituciones Descentralizadas o Autónomas y de la Seguridad Social y  el</t>
    </r>
    <r>
      <rPr>
        <b/>
        <sz val="12"/>
        <color theme="1"/>
        <rFont val="Calibri"/>
        <family val="2"/>
        <scheme val="minor"/>
      </rPr>
      <t xml:space="preserve">               </t>
    </r>
  </si>
  <si>
    <r>
      <rPr>
        <b/>
        <sz val="12"/>
        <color theme="1"/>
        <rFont val="Calibri"/>
        <family val="2"/>
        <scheme val="minor"/>
      </rPr>
      <t>Capital Publico</t>
    </r>
    <r>
      <rPr>
        <sz val="12"/>
        <color theme="1"/>
        <rFont val="Calibri"/>
        <family val="2"/>
        <scheme val="minor"/>
      </rPr>
      <t xml:space="preserve">, el cual consiste en el registro de caracter transitorio que refleja los movimientos positivos con respecto a la </t>
    </r>
    <r>
      <rPr>
        <b/>
        <sz val="12"/>
        <color theme="1"/>
        <rFont val="Calibri"/>
        <family val="2"/>
        <scheme val="minor"/>
      </rPr>
      <t xml:space="preserve">            </t>
    </r>
  </si>
  <si>
    <t xml:space="preserve">construccion de bienes de dominio publico, de la administracion central, de los Organismo Descentralizados y de las instituciones </t>
  </si>
  <si>
    <r>
      <t xml:space="preserve">de la Seguridad Social, que conforman el denominado </t>
    </r>
    <r>
      <rPr>
        <b/>
        <sz val="12"/>
        <color theme="1"/>
        <rFont val="Calibri"/>
        <family val="2"/>
        <scheme val="minor"/>
      </rPr>
      <t>Patrimonio Publico</t>
    </r>
    <r>
      <rPr>
        <sz val="12"/>
        <color theme="1"/>
        <rFont val="Calibri"/>
        <family val="2"/>
        <scheme val="minor"/>
      </rPr>
      <t>.</t>
    </r>
  </si>
  <si>
    <t xml:space="preserve">Las transferencias de capital recibidas en efectivo, procedentes del Sector Privado  y del Sector Publico, se registran y exponen a     </t>
  </si>
  <si>
    <t>su valor nominal, y en los casos de transferencias de bienes, por su valor de mercado.</t>
  </si>
  <si>
    <t xml:space="preserve">Las donaciones de capital recibidas en efectivo, procedentes de Gobiernos Extranjeros, Organismos Internacionales y del Sector  </t>
  </si>
  <si>
    <t>Privado Externo, recibidas en moneda extranjera, se registran al tipo de cambio vigente a la fecha del ingreso de los fondos.</t>
  </si>
  <si>
    <t xml:space="preserve">Los resultados de la cuenta corriente expresan las diferencias entre los ingresos y los egresos obtenidos a traves de la gestion       </t>
  </si>
  <si>
    <t>fiscal de la entidad economica, para el ejercicio contable de que se trate.</t>
  </si>
  <si>
    <t>Reconocimiento de Ingresos y Gastos</t>
  </si>
  <si>
    <t xml:space="preserve">Los ingresos son reconocidos en los resultados del ejercicio a medida que se perciben,y los gastos se reconocen como devengado    </t>
  </si>
  <si>
    <t>cuando los libramientos para pagos son aprobados por parte de la Contraloria Gdeneral de la Republica.</t>
  </si>
  <si>
    <t>Ganancias y Perdidas en Cambio y Saldos en Moneda Extranjera</t>
  </si>
  <si>
    <t xml:space="preserve">Los activos y psasivos en moneda extranjera se registran al tipo de cambio de la fecha en que se realizan las transacciones y se      </t>
  </si>
  <si>
    <t>expresan en pesos dominicanos al cierre del periodo contable,  utilizando la tasa oficial del Banco Central de  la  Republica Domi-</t>
  </si>
  <si>
    <t>nicana.</t>
  </si>
  <si>
    <t>Cuentas de Orden</t>
  </si>
  <si>
    <t xml:space="preserve">El Balance General, presenta cuentas de orden deudoras y acreedoras en las cuales se exponen los valores registrados por           </t>
  </si>
  <si>
    <t xml:space="preserve">concepto de transacciones correspondientes a intituciones descentralizadas, relativas a bienes inmuebles, construcciones, deuda  </t>
  </si>
  <si>
    <t>publica y desembolsos de prestamos avalados por el Gobierno Central.</t>
  </si>
  <si>
    <t>ACTIVOS</t>
  </si>
  <si>
    <t>NOTA # 7   Efectivo y Equivalente de efectivo</t>
  </si>
  <si>
    <t>Descripcion</t>
  </si>
  <si>
    <t>Cuenta Unica del Tesoro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</si>
  <si>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</si>
  <si>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</si>
  <si>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</si>
  <si>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</si>
  <si>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</si>
  <si>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</si>
  <si>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</si>
  <si>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</si>
  <si>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</si>
  <si>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</si>
  <si>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</si>
  <si>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</si>
  <si>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</si>
  <si>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</si>
  <si>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</si>
  <si>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</si>
  <si>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</si>
  <si>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</si>
  <si>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</si>
  <si>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</si>
  <si>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</si>
  <si>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</si>
  <si>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</si>
  <si>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</si>
  <si>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</si>
  <si>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</si>
  <si>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</si>
  <si>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</si>
  <si>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</si>
  <si>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</si>
  <si>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</si>
  <si>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</si>
  <si>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</si>
  <si>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</si>
  <si>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</si>
  <si>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</si>
  <si>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</si>
  <si>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</si>
  <si>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</si>
  <si>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</si>
  <si>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</si>
  <si>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</si>
  <si>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SNS PACIENTE COVID-19 SIN ARS</t>
  </si>
  <si>
    <t>PRESIDENCIA DE LA REPUBLICA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</si>
  <si>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</si>
  <si>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</si>
  <si>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</si>
  <si>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</si>
  <si>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</si>
  <si>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</si>
  <si>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</si>
  <si>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</si>
  <si>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</si>
  <si>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</si>
  <si>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</si>
  <si>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</si>
  <si>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</si>
  <si>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</si>
  <si>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</si>
  <si>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</si>
  <si>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</si>
  <si>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</si>
  <si>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</si>
  <si>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</si>
  <si>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</si>
  <si>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</si>
  <si>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</si>
  <si>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</si>
  <si>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Costo de Adquisición DIC-2022</t>
  </si>
  <si>
    <t xml:space="preserve">Adiciones </t>
  </si>
  <si>
    <t>Saldo al final del  Periodo  2023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</si>
  <si>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</si>
  <si>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</si>
  <si>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</si>
  <si>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</si>
  <si>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</si>
  <si>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</si>
  <si>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</si>
  <si>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</si>
  <si>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</si>
  <si>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Total Cuentas por Pagar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</si>
  <si>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</si>
  <si>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</si>
  <si>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</si>
  <si>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</si>
  <si>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</si>
  <si>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</si>
  <si>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</si>
  <si>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</si>
  <si>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</si>
  <si>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</si>
  <si>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Nota # 15   Ingresos por transacciones y Contraprestaciones</t>
  </si>
  <si>
    <t>Ingresos por SENASA</t>
  </si>
  <si>
    <t>Ingresos por Otras ARS</t>
  </si>
  <si>
    <t>Ingresos por Paciente</t>
  </si>
  <si>
    <t>Otras Contribuciones</t>
  </si>
  <si>
    <t>Otros Cafeteria</t>
  </si>
  <si>
    <t>Otros Ingresos</t>
  </si>
  <si>
    <t>Total Ingresos Operacionales</t>
  </si>
  <si>
    <t>Nota # 16   Transferencias y Donaciones</t>
  </si>
  <si>
    <t>Transferencias Corrientes Recibidas</t>
  </si>
  <si>
    <t>Nota # 17   Sueldos, Salarios, y Beneficios a Empleados (Servicios Personales)</t>
  </si>
  <si>
    <t>Remuneración al Personal con Caracter Transitorio (Nota 17-1)</t>
  </si>
  <si>
    <t>Sueldo Anual No. 13</t>
  </si>
  <si>
    <t>Prestaciones Económicas (Nota 17-2)</t>
  </si>
  <si>
    <t>Compensación (Nota 17-3)</t>
  </si>
  <si>
    <t>Gratificación por Pasantías</t>
  </si>
  <si>
    <t>Contribuciones a la Seguridad Social (Nota 17-4)</t>
  </si>
  <si>
    <t>Total Remuneraciones</t>
  </si>
  <si>
    <t>Nota # 17-1  Remuneración al Personal con Caracter Transitorio</t>
  </si>
  <si>
    <t>Sueldo al Personal Contratado y/o Igualado</t>
  </si>
  <si>
    <t>Suplencias</t>
  </si>
  <si>
    <t>Total Sueldo al Personal Contratado y/o Igualado</t>
  </si>
  <si>
    <t>Nota # 17-2 Prestaciones Económicas</t>
  </si>
  <si>
    <t>Prestación Económica</t>
  </si>
  <si>
    <t>Prestación Laboral por Desvinculación</t>
  </si>
  <si>
    <t>Proporción de Vacaciones no Disfrutadas</t>
  </si>
  <si>
    <t>Total Prestaciones Económicas</t>
  </si>
  <si>
    <t>Nota 17-3    Compensación</t>
  </si>
  <si>
    <t>Compensacion por Horas Extraodinarias</t>
  </si>
  <si>
    <t>Compensacion Servicios de Seguridad</t>
  </si>
  <si>
    <t>Incentivo por Rendimiento Individual</t>
  </si>
  <si>
    <t>Compensaciones Especiales</t>
  </si>
  <si>
    <t>Bono por Desempeño</t>
  </si>
  <si>
    <t>Total Compensacion</t>
  </si>
  <si>
    <t>Nota 17-4  Contribución a la Seguridad Social y Riesgo Laboral</t>
  </si>
  <si>
    <t>Contribuciones al Seguro de Salud</t>
  </si>
  <si>
    <t>Contribuciones al Seguro de Pensiones</t>
  </si>
  <si>
    <t>Contribuciones al Seguro de Riesgo Laboral</t>
  </si>
  <si>
    <t>Total Contribución a la Seguridad Social y Riesgo Laboral</t>
  </si>
  <si>
    <t>Nota # 18  Subvenciones y Otros Pagos por Transferencias</t>
  </si>
  <si>
    <t>Ayudas y Donaciones Ocasionales a Hogares y Personas</t>
  </si>
  <si>
    <t>Transferencias Corrientes a Otras Instituciones</t>
  </si>
  <si>
    <t>Total Transferencias y Donaciones Corrientes</t>
  </si>
  <si>
    <t>Nota # 19  Suministro y Materiales de Consumo</t>
  </si>
  <si>
    <t xml:space="preserve">Alimentos y Productos </t>
  </si>
  <si>
    <t xml:space="preserve">Textiles y Vestuarios </t>
  </si>
  <si>
    <t>Productos de Papel Cartón e Impresión</t>
  </si>
  <si>
    <t>Productos Farmacéuticos</t>
  </si>
  <si>
    <t>Productos de Cuero, Caucho y Plásticos</t>
  </si>
  <si>
    <t>Productos de Minerales, Metálicos y No Metálicos</t>
  </si>
  <si>
    <t>Combustible y Lubricantes</t>
  </si>
  <si>
    <t>Productos Químicos y Conexos</t>
  </si>
  <si>
    <t>Productos Médicos Quirúrgicos</t>
  </si>
  <si>
    <t>Productos y Útiles Varios</t>
  </si>
  <si>
    <t>Total Materiales y Suministros</t>
  </si>
  <si>
    <t>Nota # 20  Gastos de Depreciación y Amortización</t>
  </si>
  <si>
    <t>Dep. de Mobiliario y equipo  de Oficina</t>
  </si>
  <si>
    <t>Dep. de Computadora</t>
  </si>
  <si>
    <t>Dep Equipos de Transporte</t>
  </si>
  <si>
    <t>Dep. de Otros Activos</t>
  </si>
  <si>
    <t>Dep. de Equipos Medico</t>
  </si>
  <si>
    <t>Total Gastos depreciación</t>
  </si>
  <si>
    <t>Nota # 21   Otros Gastos</t>
  </si>
  <si>
    <t>Servicios Basicos</t>
  </si>
  <si>
    <t>Publicidad Impresion y Encuardernacion</t>
  </si>
  <si>
    <t>Viaticos</t>
  </si>
  <si>
    <t>Transporte y Almacenaje</t>
  </si>
  <si>
    <t>Alquileres y Rentas</t>
  </si>
  <si>
    <t xml:space="preserve">Seguros </t>
  </si>
  <si>
    <t>Servicios de Conservacion y Reparacion Menores</t>
  </si>
  <si>
    <t>Otros Servicios no Personales</t>
  </si>
  <si>
    <t>Otras Contrataciones de Servicios</t>
  </si>
  <si>
    <t>Total de Servicios No Personales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</si>
  <si>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</si>
  <si>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</si>
  <si>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</si>
  <si>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</si>
  <si>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</si>
  <si>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</si>
  <si>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</si>
  <si>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</si>
  <si>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</si>
  <si>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23GA SAPHIRE WANG ENDOILLUMIN</t>
  </si>
  <si>
    <t>Mat. Gastable</t>
  </si>
  <si>
    <t>Unidad</t>
  </si>
  <si>
    <t>Insumos Med.</t>
  </si>
  <si>
    <t>Medicamentos</t>
  </si>
  <si>
    <t>ACETATO DE ESLICARBAZEPINA 800 MG TAB</t>
  </si>
  <si>
    <t>MEdicamentos</t>
  </si>
  <si>
    <t xml:space="preserve">ACETILCISTEINA 300 MG/3ML. AMPOLLA </t>
  </si>
  <si>
    <t>Ampolla</t>
  </si>
  <si>
    <t>ACETONA GALON</t>
  </si>
  <si>
    <t xml:space="preserve">ACIDO ACETILSALICILICO 325MG/COMPRIMIDO </t>
  </si>
  <si>
    <t>ACIDO ACETILSALICILICO 81MG</t>
  </si>
  <si>
    <t>Tableta</t>
  </si>
  <si>
    <t>ACIDO POLIACRILICO 0.2% CREMA (ACRYLARM)</t>
  </si>
  <si>
    <t>Frasco</t>
  </si>
  <si>
    <t>ADV DSP BACFL SOFT TIP 23G REF.337.86</t>
  </si>
  <si>
    <t>AGUA BI-DESTILADA</t>
  </si>
  <si>
    <t>Galon</t>
  </si>
  <si>
    <t>AGUA DESTILADA 10ML( PROMESE/CAL)</t>
  </si>
  <si>
    <t xml:space="preserve">AGUA OXIGENADA </t>
  </si>
  <si>
    <t>AGUJA EPIDURAL # 16G</t>
  </si>
  <si>
    <t>AGUJA EPIDURAL # 18G</t>
  </si>
  <si>
    <t>AGUJA ESPINAL # 22G</t>
  </si>
  <si>
    <t>AGUJA ESPINAL # 23G</t>
  </si>
  <si>
    <t>AGUJA HIPODERMICA # 18G</t>
  </si>
  <si>
    <t>AGUJA HIPODERMICA # 22G</t>
  </si>
  <si>
    <t>AGUJA HIPODERMICA # 23G</t>
  </si>
  <si>
    <t>AGUJA RAQUIDEA # 23G</t>
  </si>
  <si>
    <t>ALBUMINA HUMANA  20%/FRASCO 50ML</t>
  </si>
  <si>
    <t xml:space="preserve">ALCOHOL ISOPROPILICO 70% GALON    </t>
  </si>
  <si>
    <t>ALGODON ABSORVENTE 1 LIBRA</t>
  </si>
  <si>
    <t>Libra</t>
  </si>
  <si>
    <t>ALGODON PLANCHADO # 4 PULG.</t>
  </si>
  <si>
    <t>Pulgada</t>
  </si>
  <si>
    <t>ALGODON PLANCHADO # 6 PULG.</t>
  </si>
  <si>
    <t>ALPLAZOLAM 0.50MG COMPRIMIDO</t>
  </si>
  <si>
    <t>Med. Controlado</t>
  </si>
  <si>
    <t>AMBROXOL 15 MG/2ML. AMPOLLA</t>
  </si>
  <si>
    <t>AMIKACINA 500MG/2ML. AMPOLLA</t>
  </si>
  <si>
    <t>AMINOFILINA  25 MG/10ML. AMPOLLA</t>
  </si>
  <si>
    <t>AMLODIPINA  5 MG. TAB.</t>
  </si>
  <si>
    <t xml:space="preserve">AMO 20 GAUCE IRRIGATION SLEEVE           </t>
  </si>
  <si>
    <t>unidad</t>
  </si>
  <si>
    <t>AMPICILINA SODICA 1GR/ FRASCO-AMPOLLA</t>
  </si>
  <si>
    <t>ANESTEARS</t>
  </si>
  <si>
    <t>ANTICOAGULACION-208 (LINEA DE ASPIRACION)</t>
  </si>
  <si>
    <t>ATORVASTATINA 40 MG TAB</t>
  </si>
  <si>
    <t>ATRACURIO 10MG/5ML AMPOLLA</t>
  </si>
  <si>
    <t>ATROPINA 1 MG./ML. AMPOLLA</t>
  </si>
  <si>
    <t>AVAGARD-3M JABON ANT. REF.9200</t>
  </si>
  <si>
    <t>BAJA LENGUA</t>
  </si>
  <si>
    <t>BAJANTE DE NITROGLICERINA BAXTER</t>
  </si>
  <si>
    <t>BAJANTE DE SANGRE /BAXTER</t>
  </si>
  <si>
    <t>BAJANTE DE SOLUCION</t>
  </si>
  <si>
    <t>BAJANTE DE SOLUCION BURETA BAXTER</t>
  </si>
  <si>
    <t>BAJANTE DIAL-A-FLOW</t>
  </si>
  <si>
    <t xml:space="preserve">BAJANTE ENTERAL 1000 ML DE UNA SOLA BOLS     </t>
  </si>
  <si>
    <t>Nutricion Med.</t>
  </si>
  <si>
    <t>BAJANTE ENTERAL DOBLE BOLSA</t>
  </si>
  <si>
    <t>BAJANTE PARA PERFUSOR 150CM</t>
  </si>
  <si>
    <t>BAJANTE SECUNDARIO BAXTER</t>
  </si>
  <si>
    <t>BANDA ESCLERAL REF 41</t>
  </si>
  <si>
    <t>BANDA ESCLERAL REF.240</t>
  </si>
  <si>
    <t xml:space="preserve">BATA DESECHABLE P/ PACIENTE </t>
  </si>
  <si>
    <t>BATA ESTERIL P/MEDICO</t>
  </si>
  <si>
    <t>BICARBONATO DE SODIO 8.4.% AMPOLLA 10 ML.</t>
  </si>
  <si>
    <t>BIO MEDICUS FEMORAL 19 FR</t>
  </si>
  <si>
    <t>BIO MEDICUS FEMORAL 21 FR</t>
  </si>
  <si>
    <t>BIO MEDICUS FEMORAL 23 FR</t>
  </si>
  <si>
    <t>BIO MEDICUS FEMORAL 25 FR</t>
  </si>
  <si>
    <t xml:space="preserve">BIOLENE AMPOLLA </t>
  </si>
  <si>
    <t>BISOPROLOL 10MG TAB.</t>
  </si>
  <si>
    <t xml:space="preserve">BISOPROLOL 2.5 MG V.O </t>
  </si>
  <si>
    <t>BISTURI C/M # 11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</si>
  <si>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</si>
  <si>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</si>
  <si>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</si>
  <si>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</si>
  <si>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</si>
  <si>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</si>
  <si>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BOLSA 3 LITROS P/ANESTESIA LATEX FREE</t>
  </si>
  <si>
    <t xml:space="preserve">BOLSA INFUSORA DE PRESION DE 1000ML MX4710  </t>
  </si>
  <si>
    <t>BOLSA MEDELA 1.5  CON SOLIDIFICANTE</t>
  </si>
  <si>
    <t>BOLSA MEDELA 2.5  CON SOLIDIFICANTE</t>
  </si>
  <si>
    <t>BOLSA P/ MICROSCOPIO-DRAPES ST.306071</t>
  </si>
  <si>
    <t>BOLSA PARENTERAL 2000 ML</t>
  </si>
  <si>
    <t>BOLSA PARENTERAL 500 ML</t>
  </si>
  <si>
    <t>BOQUILLA ENDOSCOPICA REF.001429</t>
  </si>
  <si>
    <t>BOTELLA DE GAS 28PSI</t>
  </si>
  <si>
    <t>Caja</t>
  </si>
  <si>
    <t>BRAZALETE DESECHABLE PEDIATRICO</t>
  </si>
  <si>
    <t xml:space="preserve">BROMURO DE IPATROPIO 0.9/3ML </t>
  </si>
  <si>
    <t>BROMURO DE ROCURONIO 50MG/5ML - (ESMERON)</t>
  </si>
  <si>
    <t>BUPIVACAINA  PESADA 0.5% X 4ML.</t>
  </si>
  <si>
    <t>CABESTRILLO SIZE LARGE</t>
  </si>
  <si>
    <t>CABESTRILLO SIZE MEDIUM</t>
  </si>
  <si>
    <t xml:space="preserve">CABLE DE CAUTERIO </t>
  </si>
  <si>
    <t>CABLE P/PINZA BIPOLAR REHUSABLE CONMED</t>
  </si>
  <si>
    <t>Sobre</t>
  </si>
  <si>
    <t xml:space="preserve">CAMPO ESTERIL P/OFTALMOLOGIA - (EYEPACK) </t>
  </si>
  <si>
    <t>CANDESARTAN 16MG TAB</t>
  </si>
  <si>
    <t>CANULA DE ASPIRACION 10FR REF.0033100</t>
  </si>
  <si>
    <t>CANULA DE ASPIRACION 12FR REF.0033120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</si>
  <si>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</si>
  <si>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</si>
  <si>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</si>
  <si>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</si>
  <si>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</si>
  <si>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</si>
  <si>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</si>
  <si>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</si>
  <si>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</si>
  <si>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</si>
  <si>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</si>
  <si>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</si>
  <si>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</si>
  <si>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</si>
  <si>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</si>
  <si>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</si>
  <si>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</si>
  <si>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CAPTOPRIL 25MG TAB</t>
  </si>
  <si>
    <t>CAPTOPRIL 50MG TAB</t>
  </si>
  <si>
    <t>CARBACHOL SOL. INTRAOCULAR</t>
  </si>
  <si>
    <t>CARBAMACEPINA 200 MG. TABLETA</t>
  </si>
  <si>
    <t>CARTUCHO PARA GASES ARTERIALES</t>
  </si>
  <si>
    <t>CARTUCHO SENSAR</t>
  </si>
  <si>
    <t>CARTUCHO VISCOJET 2.2</t>
  </si>
  <si>
    <t>CARVEDILOL 25MG TAB</t>
  </si>
  <si>
    <t>CARVEDILOL 3.125MG TAB.* CADALOL</t>
  </si>
  <si>
    <t xml:space="preserve">CARVEDILOL 6.25MG TAB. </t>
  </si>
  <si>
    <t>CASETT COMBINADO PROCED. PACK # 23</t>
  </si>
  <si>
    <t>CASETT STELLARIS REF.BL5110</t>
  </si>
  <si>
    <t>CATETER CENTRAL 2 LUMEN 5FR *PEDIATRICO*-</t>
  </si>
  <si>
    <t>CATETER CENTRAL 3LUMEN 7FR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</si>
  <si>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</si>
  <si>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</si>
  <si>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</si>
  <si>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</si>
  <si>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</si>
  <si>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</si>
  <si>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</si>
  <si>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</si>
  <si>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</si>
  <si>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</si>
  <si>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CAUTERIO DESECHABLE 221250</t>
  </si>
  <si>
    <t>CEFAZOLINA -*ALCOVERA</t>
  </si>
  <si>
    <t>CEFEPIME  1GR/FRASCO-AMPOLLA</t>
  </si>
  <si>
    <t>CEFTRIAXONA 1GR I.V*VIAL</t>
  </si>
  <si>
    <t>CELEMIN HEPA 8% 500ML</t>
  </si>
  <si>
    <t>CELL SAVER REF.263</t>
  </si>
  <si>
    <t>CEMENTO P/CRANEOPLASTIA</t>
  </si>
  <si>
    <t xml:space="preserve">CEMENTO TEKTONA R. TEKBCHV00S            </t>
  </si>
  <si>
    <t>CENTRIFUGA PARA OXIGENADOR</t>
  </si>
  <si>
    <t>CEPILLO C/JABON</t>
  </si>
  <si>
    <t>CERA P/HUESO -W31G</t>
  </si>
  <si>
    <t>CHICHIGUITAS 1/2" X 3" REF.30-057</t>
  </si>
  <si>
    <t>CINTA P/ESTERILIZAR A GAS</t>
  </si>
  <si>
    <t>CINTA PARA VASOS REF.1001</t>
  </si>
  <si>
    <t>CIRCUITO DE ANESTESIA ADULTO</t>
  </si>
  <si>
    <t>CIRCUITO DE ANESTESIA PEDIATRICO</t>
  </si>
  <si>
    <t>CIRCUITO DE VENTILADOR ADULTO</t>
  </si>
  <si>
    <t>CIRCUITO DE VENTILADOR PEDIATRICO</t>
  </si>
  <si>
    <t>CITICOLINA 500MG/AMPOLLA</t>
  </si>
  <si>
    <t>CLINDAMICINA FOSFATO 600 MG. /4ML. AMPOLLA</t>
  </si>
  <si>
    <t>CLIP DE RANEY DE ACERO</t>
  </si>
  <si>
    <t>CLIPS HORIZON REF.001200</t>
  </si>
  <si>
    <t>CLOPIDOGREL 75MG/TABLETA</t>
  </si>
  <si>
    <t>CLORURO DE CALCIO 10%  AMPOLLA  10ML</t>
  </si>
  <si>
    <t>CLORURO DE POTASIO 20%-10ML</t>
  </si>
  <si>
    <t>COLECTOR DE ORINA ADULTO</t>
  </si>
  <si>
    <t xml:space="preserve">COLECTOR DE ORINA C/MEDIDOR </t>
  </si>
  <si>
    <t>COMPRESA RADIOPACK 18 X 18, ESTERIL, PAQ</t>
  </si>
  <si>
    <t xml:space="preserve">CONECTOR 2 VIAS FINO </t>
  </si>
  <si>
    <t>CONECTOR 3 VIAS- GRUESO 011-CU-1362</t>
  </si>
  <si>
    <t>CONSTELLATION VFC PAK 8065750957</t>
  </si>
  <si>
    <t>COQUI-ORIGINAL</t>
  </si>
  <si>
    <t>CUBRE ZAPATO DESECHABLE X PARES</t>
  </si>
  <si>
    <t>Pares</t>
  </si>
  <si>
    <t>CUCHILLA DESECHABLE/RASURADORA, REF. 9670 (NEGRA)</t>
  </si>
  <si>
    <t>CUCHILLETE 15*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</si>
  <si>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</si>
  <si>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</si>
  <si>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</si>
  <si>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</si>
  <si>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</si>
  <si>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</si>
  <si>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</si>
  <si>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</si>
  <si>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</si>
  <si>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 xml:space="preserve">DEPO-MEDROL 40MG </t>
  </si>
  <si>
    <t>DERMAGRAN-B(VIT.A + B6)</t>
  </si>
  <si>
    <t>DEXAMETASONA 4 MG./1 ML. AMPOLLA</t>
  </si>
  <si>
    <t>DEXODINE ESPUMA*GALON</t>
  </si>
  <si>
    <t>DEXODINE SOLUCION*GALON</t>
  </si>
  <si>
    <t>DIAZEPAM 10MG AMP. I.V.</t>
  </si>
  <si>
    <t>DICLOFENAC 12.5M SUPOS. PED.</t>
  </si>
  <si>
    <t>DICLOFENAC 75MG AMP.</t>
  </si>
  <si>
    <t>DIGOXINA 0.5 MG./2 ML. AMPOLLA</t>
  </si>
  <si>
    <t>DOPAMINA 200MG -5ML</t>
  </si>
  <si>
    <t>DOPPLER PIEZA DE MANO</t>
  </si>
  <si>
    <t>DURAMADRE SUTURABLE 3 X 3</t>
  </si>
  <si>
    <t>DURAMADRE SUTURABLE 4 X 5 (10CM X 12.5CM)</t>
  </si>
  <si>
    <t>DURAMATRIX ONLAY PLUS 3X3</t>
  </si>
  <si>
    <t>DURAMATRIX ONLAY PLUS 4X5</t>
  </si>
  <si>
    <t>ELECTRODO MICROCARDIACO BIPOLAR</t>
  </si>
  <si>
    <t>ENALAPRIL 1,25MG/ML AMP.-LOTRIAL</t>
  </si>
  <si>
    <t xml:space="preserve">ENOXAPARINA 20MG-PROMESE             </t>
  </si>
  <si>
    <t>ENOXAPARINA 60 MG.</t>
  </si>
  <si>
    <t>ENSURE VAINILLA8OZ</t>
  </si>
  <si>
    <t>ERITROPOYECTINA 4.000 U.I. JERINGA PRECARGADA</t>
  </si>
  <si>
    <t>ESPIROMETRO HUDSON</t>
  </si>
  <si>
    <t>ESPONJA C/CLORHEXIDINA</t>
  </si>
  <si>
    <t>FENTANILO GRAY 0.05MG/ML X 2ML</t>
  </si>
  <si>
    <t>FILTRO ANTIBACTERIAL HSINER-70530</t>
  </si>
  <si>
    <t>FILTRO BACTERIAL-VIRAL REF.303EU</t>
  </si>
  <si>
    <t xml:space="preserve">FILTRO HUMIDIFICADOR/AEROSOL </t>
  </si>
  <si>
    <t>FITOMENADIONA (VIT. K) 10MG/ML./AMPOLLA</t>
  </si>
  <si>
    <t>FLO-TRAC</t>
  </si>
  <si>
    <t xml:space="preserve">FLUCONAZOL 2MG/ML INFUSION </t>
  </si>
  <si>
    <t>FLUROSCEINA INYECTABLE 20%</t>
  </si>
  <si>
    <t>FORMOL</t>
  </si>
  <si>
    <t>FOSFOMICINA 1GR I.V.</t>
  </si>
  <si>
    <t>FUNDA P/ESTERILIZAR GDE.</t>
  </si>
  <si>
    <t>FUNDA P/ESTERILIZAR MED.</t>
  </si>
  <si>
    <t>FUNDA P/ESTERILIZAR PEQ.</t>
  </si>
  <si>
    <t>GASA 4X4 C/RX 12PLY</t>
  </si>
  <si>
    <t>Paquete</t>
  </si>
  <si>
    <t>GEL-AQUASONIC-100 GALON REF.0150</t>
  </si>
  <si>
    <t>GENTAMICINA 80MG AMP</t>
  </si>
  <si>
    <t>GLUCERNA  VAINILLA FRASCO</t>
  </si>
  <si>
    <t xml:space="preserve">GLUCONATO DE CALCIO 10% / 10ML.  AMPOLLA </t>
  </si>
  <si>
    <t xml:space="preserve">GORRO CIRUGIA P/HOMBRE </t>
  </si>
  <si>
    <t>GORRO P/ENFERMERA</t>
  </si>
  <si>
    <t>GRAPADORA DE PIEL CONMED</t>
  </si>
  <si>
    <t>GREISHABER REV REF 706.44</t>
  </si>
  <si>
    <t>GRIESABER REV.23GA</t>
  </si>
  <si>
    <t>GUANTE DE NITRILO M</t>
  </si>
  <si>
    <t>Par</t>
  </si>
  <si>
    <t>GUANTE DE NITRILO S</t>
  </si>
  <si>
    <t>GUANTES DESECHABLES -X PARES</t>
  </si>
  <si>
    <t>GUANTES EST. # 7.0 S/POLVO</t>
  </si>
  <si>
    <t>GUANTES EST. # 8.0 S/POLVO</t>
  </si>
  <si>
    <t>HEMOVACK # 10</t>
  </si>
  <si>
    <t>HEMOVACK # 12</t>
  </si>
  <si>
    <t>HEMOVACK # 18</t>
  </si>
  <si>
    <t>HEPARINA SODICA 5000UI/5mL/FRASCO AMPOLLA</t>
  </si>
  <si>
    <t>HIDROCLOROTIAZIDA 25MG TAB.</t>
  </si>
  <si>
    <t>HIDROCORTIZONA 100MG I.V FRASCO</t>
  </si>
  <si>
    <t>HIERRO SACAROSA 100MG/5ML AMP</t>
  </si>
  <si>
    <t>HILO ACIFLEX #5 REF M-650-G</t>
  </si>
  <si>
    <t>HILO CROMICO 2-0 REF 123T</t>
  </si>
  <si>
    <t>HILO CROMICO 3-0 REF 810T</t>
  </si>
  <si>
    <t>HILO CROMICO 4-0 REF G121</t>
  </si>
  <si>
    <t>HILO CROMICO 5-0 U202T</t>
  </si>
  <si>
    <t>HILO MONOCRYL 3-0 REF.427H</t>
  </si>
  <si>
    <t>HILO MONOCRYL 4-0 REF, 426H</t>
  </si>
  <si>
    <t>Donado</t>
  </si>
  <si>
    <t>HILO MONOCRYL 6-0 REF. Y489G (Donado)</t>
  </si>
  <si>
    <t>HILO NYLON  3-0 REF.627H</t>
  </si>
  <si>
    <t>HILO NYLON 10-0 REF. AS-140-8</t>
  </si>
  <si>
    <t>HILO NYLON 2-0 REF.628H</t>
  </si>
  <si>
    <t>HILO NYLON 3-0 REF.163T</t>
  </si>
  <si>
    <t xml:space="preserve">HILO NYLON 5-0 REF.A749N          </t>
  </si>
  <si>
    <t>HILO NYLON 5-0 SC-20 REF.14501T</t>
  </si>
  <si>
    <t xml:space="preserve">HILO NYLON 9-0 REF A6492N            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</si>
  <si>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</si>
  <si>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</si>
  <si>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</si>
  <si>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</si>
  <si>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</si>
  <si>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</si>
  <si>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</si>
  <si>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</si>
  <si>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</si>
  <si>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</si>
  <si>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</si>
  <si>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</si>
  <si>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</si>
  <si>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</si>
  <si>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</si>
  <si>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 xml:space="preserve">HILO SEDA 3-0 REF. K832H              </t>
  </si>
  <si>
    <t>HILO SEDA 3-0 REF.184 T</t>
  </si>
  <si>
    <t>HILO SEDA 6-0 REF.D769N</t>
  </si>
  <si>
    <t>HILO SURGICEL 10X20 REF.1952</t>
  </si>
  <si>
    <t>HILO VICRYL 2-0 REF. VCP317H</t>
  </si>
  <si>
    <t>HILO VICRYL 2-0 REF. VCP339H</t>
  </si>
  <si>
    <t>HILO VICRYL 3-0 REF. VCP 316 H</t>
  </si>
  <si>
    <t>HILO VICRYL 4-0 REF. J 304H</t>
  </si>
  <si>
    <t>HILO VICRYL 5-0 REF.J571G</t>
  </si>
  <si>
    <t>HILO VICRYL 7-0 REF EE6 5307/2</t>
  </si>
  <si>
    <t>HIPROMELOSA 20MG X 10ML CELULOSA2% GOTAS (METICEL)</t>
  </si>
  <si>
    <t>HISOPO ESTERIL</t>
  </si>
  <si>
    <t>HUMIFICADOR DE OXIGENO-HSINER</t>
  </si>
  <si>
    <t xml:space="preserve">INJERTO-C- UMTB EN CHIP 30CC             </t>
  </si>
  <si>
    <t>INSULINA -NPH  100 UI X ML</t>
  </si>
  <si>
    <t>IOBAN-2-3M</t>
  </si>
  <si>
    <t>ISOFLURANO-240ML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</si>
  <si>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</si>
  <si>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</si>
  <si>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</si>
  <si>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</si>
  <si>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</si>
  <si>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</si>
  <si>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</si>
  <si>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</si>
  <si>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1CC 31 G</t>
  </si>
  <si>
    <t>KETOROLACO 30MG/ML. AMPOLLA</t>
  </si>
  <si>
    <t>KETOROLACO 60MG /2ML/ AMPOLLA</t>
  </si>
  <si>
    <t xml:space="preserve">KIT CANALIZACION </t>
  </si>
  <si>
    <t xml:space="preserve">KIT DE CARDIO </t>
  </si>
  <si>
    <t>Undead</t>
  </si>
  <si>
    <t>KIT DE HEMODIALIS P/ADULTO</t>
  </si>
  <si>
    <t>KIT DE LINEA ARTERIAL</t>
  </si>
  <si>
    <t>KIT DE RASURAR</t>
  </si>
  <si>
    <t>KIT DE SONDA P/UROLOGIA 100% SILIC. #16</t>
  </si>
  <si>
    <t>KIT JERINGA DE 200ML P/INYECTOR DEL TOMOGRAFO</t>
  </si>
  <si>
    <t>KIT P/TRAQUEOTOMIA PERCUTANEA # 7</t>
  </si>
  <si>
    <t>KIT P/TRAQUEOTOMIA PERCUTANEA # 8</t>
  </si>
  <si>
    <t>KIT TRANSDUCTOR IBP</t>
  </si>
  <si>
    <t>K-LLER GARRAFA 5 LITROS</t>
  </si>
  <si>
    <t>LACTULOSA  240ML FRASCO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</si>
  <si>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</si>
  <si>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</si>
  <si>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</si>
  <si>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</si>
  <si>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LAPIZ DE SUCC/COAG</t>
  </si>
  <si>
    <t>LECHE MAGNESIA 120ML FRASCO* HDR.A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</si>
  <si>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</si>
  <si>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</si>
  <si>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</si>
  <si>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</si>
  <si>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</si>
  <si>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</si>
  <si>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</si>
  <si>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</si>
  <si>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LEVIN #  10 FR</t>
  </si>
  <si>
    <t>LEVIN #  8.0 FR</t>
  </si>
  <si>
    <t>LEVIN # 14 FR</t>
  </si>
  <si>
    <t>LEVIN # 18 FR</t>
  </si>
  <si>
    <t>LEVOFLOXACINA 500MG I.V.</t>
  </si>
  <si>
    <t>LIDOCAINA +PISACAINA 2% S/E</t>
  </si>
  <si>
    <t>LIDOCAINA 80G SPRAY</t>
  </si>
  <si>
    <t>LIDOCAINA HCL 2%JALEA /TUBO 30ML</t>
  </si>
  <si>
    <t>LIDOCAINA S/PRESERVATIVO 2%-10ML</t>
  </si>
  <si>
    <t>LOSARTAN 100 MG. TAB.</t>
  </si>
  <si>
    <t>LUBRICANTE GEL TUBO</t>
  </si>
  <si>
    <t>LUCENTIS///ACCENTRIX</t>
  </si>
  <si>
    <t>MANTA TERMICA REF.244** PEDIATRICA</t>
  </si>
  <si>
    <t>MARCADOR DE PIEL REF.K20-4500</t>
  </si>
  <si>
    <t>MARIPOSITA DESECHABLE # 25</t>
  </si>
  <si>
    <t>MASCARA LARINGEA #  2-REUSABLE</t>
  </si>
  <si>
    <t>MASCARA LARINGEA # 4.0 REUSABLE</t>
  </si>
  <si>
    <t xml:space="preserve">MASCARA LARINGEA #2.5* REUSABLE          </t>
  </si>
  <si>
    <t>MASCARILLA C/PROTECTOR P/OJO</t>
  </si>
  <si>
    <t>MASCARILLA C/RESERVORIO ADULTO</t>
  </si>
  <si>
    <t>MASCARILLA C/TIRILLA</t>
  </si>
  <si>
    <t xml:space="preserve">MASCARILLA CPAP LARGE   </t>
  </si>
  <si>
    <t>MASCARILLA DE OXIGENO ADULTO</t>
  </si>
  <si>
    <t>MASCARILLA DE OXIGENO PEDIATRICO</t>
  </si>
  <si>
    <t>MASCARILLA DESECHABLE C/GOMITAS</t>
  </si>
  <si>
    <t xml:space="preserve">MASCARILLA N95  </t>
  </si>
  <si>
    <t>MASCARILLA P/NEBULIZAR ADULTO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</si>
  <si>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</si>
  <si>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</si>
  <si>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</si>
  <si>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</si>
  <si>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</si>
  <si>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</si>
  <si>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</si>
  <si>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 xml:space="preserve">MEDIO DE CONTRASTE X 500 ML- ULTRAVIST  </t>
  </si>
  <si>
    <t>MERONEM 1G IV. FCO**</t>
  </si>
  <si>
    <t>METAMIZOL 2 ML AMP.</t>
  </si>
  <si>
    <t>METOPROLOL 100MG TAB.</t>
  </si>
  <si>
    <t>METRONIDAZOL 500MG/FRASCO-AMPOLLA</t>
  </si>
  <si>
    <t>MICROESPONJA REF.400101</t>
  </si>
  <si>
    <t xml:space="preserve">MIDAZOLAM 50 MG </t>
  </si>
  <si>
    <t>MILRINONE 10MG -VIAL FRASCO</t>
  </si>
  <si>
    <t>MONINITRATO DE ISOSORBIDE 20 MG TAB</t>
  </si>
  <si>
    <t>NALBUFILINA 10MG/ML AMP.*1ML</t>
  </si>
  <si>
    <t>NALOXONA 0.4MG/ML</t>
  </si>
  <si>
    <t>NEOSTIGMINA 0.5 MG/ ML AMP.</t>
  </si>
  <si>
    <t>NEXT GEN. PHACO P-PACK CASSETT</t>
  </si>
  <si>
    <t>NIFEDIPINA 30MG/TABLETA</t>
  </si>
  <si>
    <t>NIMODIPINA 30MG/COMPRIMIDO</t>
  </si>
  <si>
    <t>NITROGLICERINA 5MG/5ML  AMP.</t>
  </si>
  <si>
    <t>NORADRENALINA 4MG AMP.</t>
  </si>
  <si>
    <t>ONDASETRON 8MG AMP.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</si>
  <si>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</si>
  <si>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</si>
  <si>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</si>
  <si>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</si>
  <si>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</si>
  <si>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</si>
  <si>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Resma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</si>
  <si>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</si>
  <si>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</si>
  <si>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</si>
  <si>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</si>
  <si>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</si>
  <si>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</si>
  <si>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CRANEOTOMIA, MEDLINE KIT.</t>
  </si>
  <si>
    <t>PAQ. ESTERIL OFTALMO P/CIRUJANO, Ref. 7783 (KIT # 1)</t>
  </si>
  <si>
    <t>PAQ. ESTERIL OFTALMO P/PACIENTE, Ref. 7782 (KIT # 2)</t>
  </si>
  <si>
    <t>PAQ. ESTERIL P/ANGIOPLASTIA</t>
  </si>
  <si>
    <t>PAQ. ESTERIL P/HERNIA CERVICAL, REF. 7786</t>
  </si>
  <si>
    <t>PAQ. ESTERIL P/HERNIA LUMBAR, REF. 7785</t>
  </si>
  <si>
    <t>PARACETAMOL 100 ML EN INFUSION</t>
  </si>
  <si>
    <t>PERIOCLOR 16 ONZA FRASCO</t>
  </si>
  <si>
    <t>PIEZA DE MANO REF.859105</t>
  </si>
  <si>
    <t>PIJAMA P/CIRUGIA*LARGE</t>
  </si>
  <si>
    <t>PIJAMA P/CIRUJIA*MEDIUM</t>
  </si>
  <si>
    <t>PKG ASSY 21GA IRRIGATION/MANAGE (OPOS21LD)</t>
  </si>
  <si>
    <t>PLACA DE CAUTERIO</t>
  </si>
  <si>
    <t>PLACA PARA RAYO X 10 X 12</t>
  </si>
  <si>
    <t>PONTI GOTAS 5ML</t>
  </si>
  <si>
    <t>PREGABALINA 150MG / COMPRIMIDO</t>
  </si>
  <si>
    <t>PROPOFOL 1% VIAL FRASCO</t>
  </si>
  <si>
    <t>PROTAMINA 1000UH/5ML INY (RIVERO)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</si>
  <si>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</si>
  <si>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</si>
  <si>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</si>
  <si>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</si>
  <si>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</si>
  <si>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</si>
  <si>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</si>
  <si>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CONICA REF.MR8-F2/7TA23</t>
  </si>
  <si>
    <t>PUNTA RED. EST. 9CMX4MM REF9BA40</t>
  </si>
  <si>
    <t>PUNTA REDONDA ESTRIADA 9BA60</t>
  </si>
  <si>
    <t xml:space="preserve">PUNTA REF.14BA90            </t>
  </si>
  <si>
    <t>RAMIPRIL 5 MG. COMPRIMIDO</t>
  </si>
  <si>
    <t>REGLA PVC</t>
  </si>
  <si>
    <t>REMIFENTANILO 5MG X 10ML AMP.</t>
  </si>
  <si>
    <t>REP.SUC FRASCO DE PLASTICO-11601 (CANISTER)</t>
  </si>
  <si>
    <t>RESERVORIO REF. 205</t>
  </si>
  <si>
    <t>RESUCITADOR PEDIATRICO-AMBU</t>
  </si>
  <si>
    <t>RIBOFLAVINA HIPOTONICA</t>
  </si>
  <si>
    <t>RIBOFLAVINA ISOTONICA</t>
  </si>
  <si>
    <t>ROLLO P/ESTILIZAR 4 X 100</t>
  </si>
  <si>
    <t>ROSUVASTATINA 20 MG TAB</t>
  </si>
  <si>
    <t>SABANITAS DESECHABLES 30X60</t>
  </si>
  <si>
    <t>SALBUTAMOL 100 MG INHALADOR ORAL - SPRAY</t>
  </si>
  <si>
    <t>SALBUTAMOL 5 MG/ML PARA NEBULIZADOR</t>
  </si>
  <si>
    <t xml:space="preserve">SELLO BAJO AGUA </t>
  </si>
  <si>
    <t>SERTAL COMPUESTO AMP.</t>
  </si>
  <si>
    <t>SET DE BAÑO</t>
  </si>
  <si>
    <t>SET DE ENTUBACION LAGRIMAL K20-3900</t>
  </si>
  <si>
    <t>SEVOFLUORANO FRASCO 250ML</t>
  </si>
  <si>
    <t>SILDENAFIL 50MG  TAB</t>
  </si>
  <si>
    <t>SOL. CUSTODIOL 1000ML -BOLSA</t>
  </si>
  <si>
    <t>SOL. CUSTODIOL 2000ML- BOLSA</t>
  </si>
  <si>
    <t>SOL. DEXTROSA 5% 500ML</t>
  </si>
  <si>
    <t xml:space="preserve">SOL. MANITOL 20% - 250ML </t>
  </si>
  <si>
    <t>SOL. MIXT0 0.33% - 500ML</t>
  </si>
  <si>
    <t>SOL. MIXTO 0.33% - 1000ML</t>
  </si>
  <si>
    <t xml:space="preserve">SOL. MIXTO 0.9% 1000ML FRASCO         </t>
  </si>
  <si>
    <t>SOL. SALINA 0.9% - 1000ML</t>
  </si>
  <si>
    <t>SOL. SALINA 0.9% - 100ML</t>
  </si>
  <si>
    <t>SOL. SALINA MULTILITOS R  1000 ML</t>
  </si>
  <si>
    <t>SOL. SALINA P/IRRIGACION  0.9%  1000ML</t>
  </si>
  <si>
    <t>SOL. VOLUVEN 6% -500ML FRASCO</t>
  </si>
  <si>
    <t>SONDA FOLEY 2 VIAS #  12 FR</t>
  </si>
  <si>
    <t>SONDA FOLEY 2 VIAS #  16 FR</t>
  </si>
  <si>
    <t>SONDA FOLEY 2 VIAS #  8.0 FR</t>
  </si>
  <si>
    <t>SONDA FOLEY 2 VIAS # 18 FR</t>
  </si>
  <si>
    <t xml:space="preserve">SONDA FOLEY 2 VIAS # 6.0 FR          </t>
  </si>
  <si>
    <t>SPONGOSTAN-HEMOSTATICO</t>
  </si>
  <si>
    <t>STERI-GAS</t>
  </si>
  <si>
    <t>SUCCINILCOLINA 40MG (UXICOLIN) AMP.</t>
  </si>
  <si>
    <t>SUJETADOR DE MANO-PIE X PARES</t>
  </si>
  <si>
    <t>SUJETADOR/FIJADOR SONDA-LEVIN</t>
  </si>
  <si>
    <t>TABLILLA PEDIATRICA-DESECH.</t>
  </si>
  <si>
    <t>TAPON NASAL MEROCEL 8CM C/CANAL</t>
  </si>
  <si>
    <t>TAZOBACTAM 500MG + PIPERACICLINA SODICA 4.0G</t>
  </si>
  <si>
    <t>TEN-20 GEL / FRASCO</t>
  </si>
  <si>
    <t>TIRILLA INDIC.P/VAPOR.-3M C/240-REF.1250</t>
  </si>
  <si>
    <t>TIRILLA P/GAS-3M  C/240- REF.1251</t>
  </si>
  <si>
    <t>TIRILLA PARA GLUCOMETRO HEALTH PROP</t>
  </si>
  <si>
    <t>TIROFIBAN 50 ML  FRASCO (AGRASTAT)</t>
  </si>
  <si>
    <t xml:space="preserve">TOBRADEX UNGUENTO OFTALMICO </t>
  </si>
  <si>
    <t>T-P GOTAS</t>
  </si>
  <si>
    <t>TRAMADOL 100MG AMP.</t>
  </si>
  <si>
    <t>TUBO DE HEMOCRON-ITC</t>
  </si>
  <si>
    <t>TUBO DEL SONACA</t>
  </si>
  <si>
    <t>TUBO ENDOTRAQUEAL #  4.5</t>
  </si>
  <si>
    <t>TUBO ENDOTRAQUEAL #  5.0</t>
  </si>
  <si>
    <t>TUBO ENDOTRAQUEAL #  5.5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</si>
  <si>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</si>
  <si>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</si>
  <si>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</si>
  <si>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</si>
  <si>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</si>
  <si>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</si>
  <si>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</si>
  <si>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</si>
  <si>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</si>
  <si>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TUBO TORAXICO RECTO</t>
  </si>
  <si>
    <t>VALVULA HIDROC. DE PRESION BAJA</t>
  </si>
  <si>
    <t>VALVULA HIDROC. REGULAR P. MEDIUM,  R-9003E</t>
  </si>
  <si>
    <t>VALVULA HIDROC. SMALL P. MEDIUM, R-9003B</t>
  </si>
  <si>
    <t xml:space="preserve">VALVULA HIDROCEFALICA  R-1-25132-5                </t>
  </si>
  <si>
    <t>VANCOMICINA 1 G. FRASCO-AMPOLLA</t>
  </si>
  <si>
    <t>VANCOMICINA 500 MG. FRASCO-AMPOLLA</t>
  </si>
  <si>
    <t>VENDAJE ELASTICO #  4 PULG.</t>
  </si>
  <si>
    <t>VERAPAMILO 5 MG./2 ML. AMPOLLA</t>
  </si>
  <si>
    <t>VIGADEXA</t>
  </si>
  <si>
    <t>VISCOELASTICO 1.6% (BIOVISC)</t>
  </si>
  <si>
    <t>VISCOELASTICO 2.0% (OCUCOAT)</t>
  </si>
  <si>
    <t>VISCOUS FLUID CONTROL PAK</t>
  </si>
  <si>
    <t>VITRECTOR ANTERIOR PAK- INFINITIT</t>
  </si>
  <si>
    <t>VITRECTOR PROBE # 23 GA ULTRAVIT,REF.0949</t>
  </si>
  <si>
    <t>XPOSE 4 DEVICE (POSICIONADOR)</t>
  </si>
  <si>
    <t>Z-O DURAPORE-3M, REF. 1538-1 (PEQ)</t>
  </si>
  <si>
    <t>Z-O DURAPORE-3M, REF. 1538-3 (GDE)</t>
  </si>
  <si>
    <t>Z-O DURAPORE-3M,REF. 1538-2 (MED)</t>
  </si>
  <si>
    <t>Z-O MICROPORE-3M-2PG, REF. 1535-1 (PEQ)</t>
  </si>
  <si>
    <t>Revisado por: Lic. Jose Francisco Villabrille</t>
  </si>
  <si>
    <t>Encargado de Contabilidad</t>
  </si>
  <si>
    <t>RELACIÓN DE INVENTARIO DE ALMACÉN GENERAL</t>
  </si>
  <si>
    <t>CUCHARA DESECHABLES 25/1</t>
  </si>
  <si>
    <t>Desechables</t>
  </si>
  <si>
    <t>Paquetes</t>
  </si>
  <si>
    <t>PLATOS DESECHABLES # 9"</t>
  </si>
  <si>
    <t xml:space="preserve">SERVILLETAS DESECHABLES </t>
  </si>
  <si>
    <t>TENEDORES DESECHABLES 25/1</t>
  </si>
  <si>
    <t>VASOS DESECHABLES # 3"</t>
  </si>
  <si>
    <t>VASOS DESECHABLES # 5"</t>
  </si>
  <si>
    <t xml:space="preserve">VASOS DESECHABLES 4 OZ P/HABICHUELAS     </t>
  </si>
  <si>
    <t xml:space="preserve">PLATOS CON DIVISION </t>
  </si>
  <si>
    <t>Faldo</t>
  </si>
  <si>
    <t>VASOS DESECHABLES # 10"</t>
  </si>
  <si>
    <t>Higienizacion</t>
  </si>
  <si>
    <t>BRILLO P/FREGAR FINO (LA MAQUINA)</t>
  </si>
  <si>
    <t>UNIDAD</t>
  </si>
  <si>
    <t xml:space="preserve">BRILLO P/FREGAR GRUESO </t>
  </si>
  <si>
    <t>BRILLO VERDE</t>
  </si>
  <si>
    <t>BRILLO VERDE C/ESPONJA</t>
  </si>
  <si>
    <t>CERA LIQUIDA PARA PISO</t>
  </si>
  <si>
    <t>GALON</t>
  </si>
  <si>
    <t>Galones</t>
  </si>
  <si>
    <t>DESGRASANTE MULTIUSO</t>
  </si>
  <si>
    <t>DISPENSADOR DE FRAGANCIA</t>
  </si>
  <si>
    <t>GUANTES P/LIMPIEZA (PARES)</t>
  </si>
  <si>
    <t>JABON PARA FREGAR</t>
  </si>
  <si>
    <t>LANA DE BRILLO P/PISO</t>
  </si>
  <si>
    <t>ROLLO</t>
  </si>
  <si>
    <t>LYSOL SPRAY DESIFECTANTE 19 ONZAS</t>
  </si>
  <si>
    <t>PAPEL DE BAÑO GRANDE</t>
  </si>
  <si>
    <t xml:space="preserve">PIEDRAS AMBIENTADORAS P/BAÑO       </t>
  </si>
  <si>
    <t>RECOGEDORES DE BASURA (PALITA)</t>
  </si>
  <si>
    <t>DISPENSADOR DE PAPEL DE BAÑO</t>
  </si>
  <si>
    <t>LIBRO DE CONTROL DE ENTRADA Y SALIDA DE EXPEDIENTE</t>
  </si>
  <si>
    <t>LIbros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</si>
  <si>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</si>
  <si>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</si>
  <si>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</si>
  <si>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</si>
  <si>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</si>
  <si>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</si>
  <si>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</si>
  <si>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</si>
  <si>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</si>
  <si>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</si>
  <si>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</si>
  <si>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</si>
  <si>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</si>
  <si>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</si>
  <si>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</si>
  <si>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</si>
  <si>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</si>
  <si>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</si>
  <si>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</si>
  <si>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</si>
  <si>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</si>
  <si>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</si>
  <si>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</si>
  <si>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C</t>
  </si>
  <si>
    <t>BATERIAS AA</t>
  </si>
  <si>
    <t>BATERIAS AAA</t>
  </si>
  <si>
    <t>BOLSAS DE CADAVER</t>
  </si>
  <si>
    <t>CD EN BLANCO</t>
  </si>
  <si>
    <t>CINTA DE EMPAQUE</t>
  </si>
  <si>
    <t xml:space="preserve">CONTENEDOR P/OBJETOS PUZOCORTANTES 12GL     </t>
  </si>
  <si>
    <t>CONTENEDORES (LITROS  DE DESECHOS CORTANTES)</t>
  </si>
  <si>
    <t>DVD EN BLANCO</t>
  </si>
  <si>
    <t>FAJA LUMBAR INDUSTRIAL (L)</t>
  </si>
  <si>
    <t>FAJA LUMBAR INDUSTRIAL (M)</t>
  </si>
  <si>
    <t>FAJA LUMBAR INDUSTRIAL (S)</t>
  </si>
  <si>
    <t>FAJA LUMBAR INDUSTRIAL (XL)</t>
  </si>
  <si>
    <t>FUNDA BLANCA  36 X 52 P/100</t>
  </si>
  <si>
    <t>FUNDAS CON AZA #26</t>
  </si>
  <si>
    <t>FUNDAS NEGRAS 30GLS</t>
  </si>
  <si>
    <t xml:space="preserve">FUNDAS NEGRAS 55GLS       </t>
  </si>
  <si>
    <t xml:space="preserve">PORTA CARNET TIPO YOYO             </t>
  </si>
  <si>
    <t>PORTA CD</t>
  </si>
  <si>
    <t>ARCHIVO ACORDEON</t>
  </si>
  <si>
    <t>Suministros</t>
  </si>
  <si>
    <t>ARMAZON PENDAFLEX 8 1/2 X 11</t>
  </si>
  <si>
    <t>BANDEJA PARA PARED PLASTICA</t>
  </si>
  <si>
    <t>BANDITAS ELASTICAS #18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</si>
  <si>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</si>
  <si>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</si>
  <si>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</si>
  <si>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</si>
  <si>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</si>
  <si>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</si>
  <si>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</si>
  <si>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</si>
  <si>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CAJA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</si>
  <si>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</si>
  <si>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</si>
  <si>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</si>
  <si>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</si>
  <si>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</si>
  <si>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</si>
  <si>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</si>
  <si>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</si>
  <si>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</si>
  <si>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</si>
  <si>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GRAPA GRANDE 23/13</t>
  </si>
  <si>
    <t>GRAPA PEQUENA 26/6</t>
  </si>
  <si>
    <t>GRAPADORA GRANDE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</si>
  <si>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</si>
  <si>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</si>
  <si>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</si>
  <si>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</si>
  <si>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</si>
  <si>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 xml:space="preserve">MARCADOR PERMANENTE ROJO                            </t>
  </si>
  <si>
    <t xml:space="preserve">MARCADORES PERMANENTES AZUL                  </t>
  </si>
  <si>
    <t xml:space="preserve">MARCADORES PERMANENTES NEGROS    </t>
  </si>
  <si>
    <t>PAPEL BOND 8 1/2 X 11</t>
  </si>
  <si>
    <t>Resmas</t>
  </si>
  <si>
    <t>PAPEL TIMBRADO</t>
  </si>
  <si>
    <t>PERFORADORA 2 HOYOS</t>
  </si>
  <si>
    <t>PERFORADORA 3 HOYOS</t>
  </si>
  <si>
    <t xml:space="preserve">PLANCHA VERTICAL DE VAPOR </t>
  </si>
  <si>
    <t>Equipo</t>
  </si>
  <si>
    <t>PORTA CLIPS MAGNETICO</t>
  </si>
  <si>
    <t>PORTA LAPIZ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</si>
  <si>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</si>
  <si>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</si>
  <si>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</si>
  <si>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</si>
  <si>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</si>
  <si>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</si>
  <si>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</si>
  <si>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</si>
  <si>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</si>
  <si>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</si>
  <si>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TERMICOS DE 2 1/4 X 120</t>
  </si>
  <si>
    <t>ROllOS TERMICOS DE 3 PULG</t>
  </si>
  <si>
    <t>SACA PUNTA ELECTRICO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</si>
  <si>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</si>
  <si>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</si>
  <si>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</si>
  <si>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</si>
  <si>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</si>
  <si>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CARPETA TIMBRADA</t>
  </si>
  <si>
    <t>BOLIGRAFOS ROJOS</t>
  </si>
  <si>
    <t xml:space="preserve">FICHAS DE PACIENTES </t>
  </si>
  <si>
    <t>TALONARIO</t>
  </si>
  <si>
    <t>TALONARIO SERVICIOS OFTALMOLOGICOS REPORTE DE ECOGRAFIA Y/Y BIO-OCULAR</t>
  </si>
  <si>
    <t>ROTULO DE SOLUCION</t>
  </si>
  <si>
    <t>TALONARIO SERVICIO DE OFTALMOLOGIA HISTORIA CLINICA</t>
  </si>
  <si>
    <t>TALONARIO ACTO DE RENOVACION EN CASO DE HABER FIRMADO EL CONSENTIMIENTO</t>
  </si>
  <si>
    <t>TALONARIO ANOTACIONES DE ENFERMERIA</t>
  </si>
  <si>
    <t>TALONARIO ANTES Y DESPUES DE CIRUGIA</t>
  </si>
  <si>
    <t xml:space="preserve">BLOCK REQUISICION MATERIALES Y EQUIPOS     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</si>
  <si>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</si>
  <si>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</si>
  <si>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</si>
  <si>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</si>
  <si>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</si>
  <si>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</si>
  <si>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</si>
  <si>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</si>
  <si>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</si>
  <si>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</si>
  <si>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</si>
  <si>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</si>
  <si>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</si>
  <si>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</si>
  <si>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</si>
  <si>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</si>
  <si>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</si>
  <si>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</si>
  <si>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</si>
  <si>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</si>
  <si>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</si>
  <si>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</si>
  <si>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</si>
  <si>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</si>
  <si>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</si>
  <si>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</si>
  <si>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</si>
  <si>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</si>
  <si>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</si>
  <si>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</si>
  <si>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</si>
  <si>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</si>
  <si>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</si>
  <si>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</si>
  <si>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</si>
  <si>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</si>
  <si>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</si>
  <si>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</si>
  <si>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</si>
  <si>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</si>
  <si>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</si>
  <si>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</si>
  <si>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</si>
  <si>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</si>
  <si>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</si>
  <si>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</si>
  <si>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</si>
  <si>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</si>
  <si>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</si>
  <si>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</si>
  <si>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>BLOCK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</si>
  <si>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</si>
  <si>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</si>
  <si>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</si>
  <si>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</si>
  <si>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</si>
  <si>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</si>
  <si>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</si>
  <si>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</si>
  <si>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</si>
  <si>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</si>
  <si>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</si>
  <si>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</si>
  <si>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</si>
  <si>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</si>
  <si>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</si>
  <si>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</si>
  <si>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</si>
  <si>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</si>
  <si>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</si>
  <si>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</si>
  <si>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</si>
  <si>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</si>
  <si>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</si>
  <si>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</si>
  <si>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</si>
  <si>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</si>
  <si>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</si>
  <si>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</si>
  <si>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</si>
  <si>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</si>
  <si>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</si>
  <si>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</si>
  <si>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</si>
  <si>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</si>
  <si>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</si>
  <si>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</si>
  <si>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</si>
  <si>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 DE FARMACIA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</si>
  <si>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</si>
  <si>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</si>
  <si>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</si>
  <si>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</si>
  <si>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 xml:space="preserve">TALONARIOS DE EPICRISIS                           </t>
  </si>
  <si>
    <t>TALONARIOS HISTORIA CLINICA  OFTALMOLOGIA PEDIATRICA</t>
  </si>
  <si>
    <t>TARJETAS DE CITA</t>
  </si>
  <si>
    <t>TALONARIO LISTADO DE CONTROL DE CITA DIARIA</t>
  </si>
  <si>
    <t>TALONARIO DE SIGNOS VITALES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</si>
  <si>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</si>
  <si>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</si>
  <si>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</si>
  <si>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</si>
  <si>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</si>
  <si>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</si>
  <si>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</si>
  <si>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</si>
  <si>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</si>
  <si>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</si>
  <si>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</si>
  <si>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</si>
  <si>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</si>
  <si>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</si>
  <si>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PAPEL TOALLA</t>
  </si>
  <si>
    <t xml:space="preserve">PAPEL ALUMINIO 12" X 200                          </t>
  </si>
  <si>
    <t xml:space="preserve">Encargado de Almacen General 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</si>
  <si>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</si>
  <si>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</si>
  <si>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</si>
  <si>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</si>
  <si>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</si>
  <si>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</si>
  <si>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</si>
  <si>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</si>
  <si>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FECHA</t>
  </si>
  <si>
    <t xml:space="preserve">No. FACTURA Y/O  COMPROBANTE </t>
  </si>
  <si>
    <t>PROVEEDORES</t>
  </si>
  <si>
    <t>CONCEPTO</t>
  </si>
  <si>
    <t>MONTO</t>
  </si>
  <si>
    <t>B1500016105</t>
  </si>
  <si>
    <t>ALCON DOMINICANA</t>
  </si>
  <si>
    <t>COMPRA DE MEDICAMENTOS</t>
  </si>
  <si>
    <t>B1500016124</t>
  </si>
  <si>
    <t>B1500016146</t>
  </si>
  <si>
    <t>B1500016158</t>
  </si>
  <si>
    <t>B1500015198</t>
  </si>
  <si>
    <t>B1500016290</t>
  </si>
  <si>
    <t>B1500016291</t>
  </si>
  <si>
    <t>B1500001558</t>
  </si>
  <si>
    <t>ANEST, SRL</t>
  </si>
  <si>
    <t>B1500001103</t>
  </si>
  <si>
    <t>ALL OFFICE SOLUTIONS SRL</t>
  </si>
  <si>
    <t>UTILES INFORMATICOS</t>
  </si>
  <si>
    <t xml:space="preserve">COMPRA DE MEDICAMENTOS </t>
  </si>
  <si>
    <t>B1500000414</t>
  </si>
  <si>
    <t>B1500000424</t>
  </si>
  <si>
    <t>B1500000531</t>
  </si>
  <si>
    <t>COMPRA DE MATERIALES MEDICO</t>
  </si>
  <si>
    <t>B1500000536</t>
  </si>
  <si>
    <t>B1500000549</t>
  </si>
  <si>
    <t>B1500000561</t>
  </si>
  <si>
    <t>B1500000562</t>
  </si>
  <si>
    <t>B1500000570</t>
  </si>
  <si>
    <t>B1500000572</t>
  </si>
  <si>
    <t>B1500000586</t>
  </si>
  <si>
    <t>B1500000591</t>
  </si>
  <si>
    <t>B1500000598</t>
  </si>
  <si>
    <t>B1500000055</t>
  </si>
  <si>
    <t>ATGO,SRL</t>
  </si>
  <si>
    <t>B1500000057</t>
  </si>
  <si>
    <t>B1500000058</t>
  </si>
  <si>
    <t>B1500000059</t>
  </si>
  <si>
    <t xml:space="preserve">COMPRA DE BOTELLON DE AGUA </t>
  </si>
  <si>
    <t>B1500000096</t>
  </si>
  <si>
    <t>A&amp;M COMMERCE MEDIA,SRL</t>
  </si>
  <si>
    <t>COMPRA DE MATERIALES LIMPIEZA</t>
  </si>
  <si>
    <t>B1500000105</t>
  </si>
  <si>
    <t>BIO TEST LABORATORIO CLINICO</t>
  </si>
  <si>
    <t>ANALSIS PACIENTES</t>
  </si>
  <si>
    <t>B1500000109</t>
  </si>
  <si>
    <t>B1500000131</t>
  </si>
  <si>
    <t>B1500000137</t>
  </si>
  <si>
    <t>B1500000139</t>
  </si>
  <si>
    <t>B1500000150</t>
  </si>
  <si>
    <t xml:space="preserve">SERVICIO DE LABORATORIO </t>
  </si>
  <si>
    <t>ANALISIS PACIENTES</t>
  </si>
  <si>
    <t>B1500026605</t>
  </si>
  <si>
    <t>REACTIVOS DE LABORATORIOS</t>
  </si>
  <si>
    <t>B1500030886</t>
  </si>
  <si>
    <t xml:space="preserve">BIONUCLEAR </t>
  </si>
  <si>
    <t>B1500030964</t>
  </si>
  <si>
    <t>COMPRA DE PAPEL IMPRESORA</t>
  </si>
  <si>
    <t>BIONUCLEAR</t>
  </si>
  <si>
    <t>B1500033846</t>
  </si>
  <si>
    <t xml:space="preserve">COMPRA DE MATERIALES MEDICO </t>
  </si>
  <si>
    <t>B1500034391</t>
  </si>
  <si>
    <t>B1500034778</t>
  </si>
  <si>
    <t>B1500034847</t>
  </si>
  <si>
    <t>B1500034876</t>
  </si>
  <si>
    <t>B1500034905</t>
  </si>
  <si>
    <t>B1500034401</t>
  </si>
  <si>
    <t>B1500009846</t>
  </si>
  <si>
    <t xml:space="preserve">BIO NOVA, SRL </t>
  </si>
  <si>
    <t>COMPRA DE MATERIALES DE MEDICO</t>
  </si>
  <si>
    <t>B1500010473</t>
  </si>
  <si>
    <t>B1500011111</t>
  </si>
  <si>
    <t>B1500011132</t>
  </si>
  <si>
    <t>B1500011748</t>
  </si>
  <si>
    <t>B1500011749</t>
  </si>
  <si>
    <t>B1500011771</t>
  </si>
  <si>
    <t>B1500000223</t>
  </si>
  <si>
    <t>BIOQUIMICA</t>
  </si>
  <si>
    <t>COMPRA DE MATERIALES DESECHABLES</t>
  </si>
  <si>
    <t>B1500000232</t>
  </si>
  <si>
    <t>B1500000234</t>
  </si>
  <si>
    <t>COMPRA DE MATERIALES DESECHABLE</t>
  </si>
  <si>
    <t>C FEDERICO GOMEZ</t>
  </si>
  <si>
    <t>B1500000383</t>
  </si>
  <si>
    <t>CRISTALIA DOMINICANA</t>
  </si>
  <si>
    <t>B1500000446</t>
  </si>
  <si>
    <t>B1500000587</t>
  </si>
  <si>
    <t>B1500000624</t>
  </si>
  <si>
    <t>B1500000986</t>
  </si>
  <si>
    <t>B1500001096</t>
  </si>
  <si>
    <t>B1500001126</t>
  </si>
  <si>
    <t>B1500001138</t>
  </si>
  <si>
    <t xml:space="preserve">COMPRA DE MEDICAMENTO </t>
  </si>
  <si>
    <t>B1500000555</t>
  </si>
  <si>
    <t xml:space="preserve">CROSS PUBLICIDAD </t>
  </si>
  <si>
    <t>COMPRA BANNER Y GLOBOS</t>
  </si>
  <si>
    <t>B1500000436</t>
  </si>
  <si>
    <t>CORAVASCULAR, SRL</t>
  </si>
  <si>
    <t>B1500000445</t>
  </si>
  <si>
    <t>B1500000448</t>
  </si>
  <si>
    <t>B1500000449</t>
  </si>
  <si>
    <t>B1500000451</t>
  </si>
  <si>
    <t>B1500000452</t>
  </si>
  <si>
    <t>B1500000453</t>
  </si>
  <si>
    <t>B1500000456</t>
  </si>
  <si>
    <t>B1500000305</t>
  </si>
  <si>
    <t>CASA DOÑA MARCIA, CADOMA,SRL</t>
  </si>
  <si>
    <t xml:space="preserve">COMPRA DE LLAVIN </t>
  </si>
  <si>
    <t>B1500000061</t>
  </si>
  <si>
    <t>COMERCIAL RICRUZ ,SRL</t>
  </si>
  <si>
    <t>B1500000065</t>
  </si>
  <si>
    <t xml:space="preserve">COMPRA DE MATERIALES VARIOS </t>
  </si>
  <si>
    <t>B1500000069</t>
  </si>
  <si>
    <t>B1500000072</t>
  </si>
  <si>
    <t>B1500000327</t>
  </si>
  <si>
    <t>CEREMO,SRL</t>
  </si>
  <si>
    <t>B1500000333</t>
  </si>
  <si>
    <t>B1500000039</t>
  </si>
  <si>
    <t xml:space="preserve">CAPELLAN GERALDINO MULTISERVICIOS </t>
  </si>
  <si>
    <t>COMPRA DE MATERIALES DE LIMPIEZA</t>
  </si>
  <si>
    <t>B1500000126</t>
  </si>
  <si>
    <t>CONSULTORES EN SEGURIDAD TECNOLOGICA E INF.</t>
  </si>
  <si>
    <t>ENTRENAMIENTO -CERTIFICACION SEG.</t>
  </si>
  <si>
    <t>B1500000537</t>
  </si>
  <si>
    <t>DISTRIBUIDORES OXIMEGAS SOTO</t>
  </si>
  <si>
    <t>OXIGENO</t>
  </si>
  <si>
    <t>B1500000538</t>
  </si>
  <si>
    <t>B1500000539</t>
  </si>
  <si>
    <t>B1500000540</t>
  </si>
  <si>
    <t>B1500000541</t>
  </si>
  <si>
    <t>B1500000542</t>
  </si>
  <si>
    <t>B1500000543</t>
  </si>
  <si>
    <t>B1500000544</t>
  </si>
  <si>
    <t>B1500000545</t>
  </si>
  <si>
    <t>B1500000546</t>
  </si>
  <si>
    <t>B1500000547</t>
  </si>
  <si>
    <t>B1500000548</t>
  </si>
  <si>
    <t>B1500000550</t>
  </si>
  <si>
    <t>B1500000551</t>
  </si>
  <si>
    <t>B1500000552</t>
  </si>
  <si>
    <t>B1500000553</t>
  </si>
  <si>
    <t>B1500000554</t>
  </si>
  <si>
    <t>B1500000556</t>
  </si>
  <si>
    <t>B1500000183</t>
  </si>
  <si>
    <t xml:space="preserve">SERVICIOS TRANSPORTE </t>
  </si>
  <si>
    <t>B1500001483</t>
  </si>
  <si>
    <t>DIAMELAB,SRL</t>
  </si>
  <si>
    <t>B1500000360</t>
  </si>
  <si>
    <t>2T IMPORTACIONES,SRL</t>
  </si>
  <si>
    <t>COMPRA DE GORRO ENFERMERA DESEC.</t>
  </si>
  <si>
    <t>B1500000001</t>
  </si>
  <si>
    <t>EVERMED</t>
  </si>
  <si>
    <t>MATENIMIENTOS DE EQUIPOS</t>
  </si>
  <si>
    <t>B1500000003</t>
  </si>
  <si>
    <t>B1500000002</t>
  </si>
  <si>
    <t>B1500000004</t>
  </si>
  <si>
    <t>B1500000227</t>
  </si>
  <si>
    <t>ENDO SERV, SRL</t>
  </si>
  <si>
    <t>COMPRA DE MATERIAL MEDICO</t>
  </si>
  <si>
    <t>B1500000252</t>
  </si>
  <si>
    <t>B1500000251</t>
  </si>
  <si>
    <t>B1500000331</t>
  </si>
  <si>
    <t>B1500000735</t>
  </si>
  <si>
    <t>B1500034479</t>
  </si>
  <si>
    <t>FARMACONAL</t>
  </si>
  <si>
    <t>COMPRA MATERIAL MEDICO</t>
  </si>
  <si>
    <t xml:space="preserve">FARMACONAL </t>
  </si>
  <si>
    <t>B1500047524</t>
  </si>
  <si>
    <t>B1500047643</t>
  </si>
  <si>
    <t>B1500048198</t>
  </si>
  <si>
    <t>B1500048391</t>
  </si>
  <si>
    <t>B1500048803</t>
  </si>
  <si>
    <t>B1500048804</t>
  </si>
  <si>
    <t>B1500048848</t>
  </si>
  <si>
    <t>B1500048956</t>
  </si>
  <si>
    <t xml:space="preserve">COMPRA DE MATERIALES MEDICAMENTOS </t>
  </si>
  <si>
    <t>B1500048966</t>
  </si>
  <si>
    <t>B1500048965</t>
  </si>
  <si>
    <t>B1500048996</t>
  </si>
  <si>
    <t>B1500048997</t>
  </si>
  <si>
    <t>B1500048998</t>
  </si>
  <si>
    <t>B1500049008</t>
  </si>
  <si>
    <t>B1500049140</t>
  </si>
  <si>
    <t>B1500049138</t>
  </si>
  <si>
    <t>B1500049300</t>
  </si>
  <si>
    <t>B1500049301</t>
  </si>
  <si>
    <t>B1500049357</t>
  </si>
  <si>
    <t>B1500049401</t>
  </si>
  <si>
    <t>B1500049358</t>
  </si>
  <si>
    <t>COMPRA DE SABANITA DESECHABLES</t>
  </si>
  <si>
    <t>B1500049726</t>
  </si>
  <si>
    <t>B1500049865</t>
  </si>
  <si>
    <t>B1500049887</t>
  </si>
  <si>
    <t>B1500049954</t>
  </si>
  <si>
    <t>B1500049958</t>
  </si>
  <si>
    <t>B1500049697</t>
  </si>
  <si>
    <t>B1500049699</t>
  </si>
  <si>
    <t>B1500049698</t>
  </si>
  <si>
    <t>B1500049914</t>
  </si>
  <si>
    <t>B1500049889</t>
  </si>
  <si>
    <t>B1500050082</t>
  </si>
  <si>
    <t>B1500050160</t>
  </si>
  <si>
    <t>COPMPRA DE MATERIALES MEDICO</t>
  </si>
  <si>
    <t>B1500050308</t>
  </si>
  <si>
    <t>B1500050749</t>
  </si>
  <si>
    <t>B1500051059</t>
  </si>
  <si>
    <t>B1500051561</t>
  </si>
  <si>
    <t>B1500051799</t>
  </si>
  <si>
    <t>B1500003002</t>
  </si>
  <si>
    <t>B1500003702</t>
  </si>
  <si>
    <t>B1500003736</t>
  </si>
  <si>
    <t>FARMACO INTERNACIONAL, SRL</t>
  </si>
  <si>
    <t>B1500000775</t>
  </si>
  <si>
    <t>B1500000665</t>
  </si>
  <si>
    <t>FRIFARMA,SRL</t>
  </si>
  <si>
    <t>B1500000638</t>
  </si>
  <si>
    <t>FL BETANCES &amp; ASOCIADOS ,SRL</t>
  </si>
  <si>
    <t>B1500000639</t>
  </si>
  <si>
    <t>B1500000246</t>
  </si>
  <si>
    <t>FRAVAX,SRL</t>
  </si>
  <si>
    <t>B1500000263</t>
  </si>
  <si>
    <t>FARMACIA SALIM,SRL</t>
  </si>
  <si>
    <t>B1500000734</t>
  </si>
  <si>
    <t>GTG INDUSTRIAL , SRL</t>
  </si>
  <si>
    <t xml:space="preserve">COMPRA DE MATERIALES </t>
  </si>
  <si>
    <t>B1500002432</t>
  </si>
  <si>
    <t>MATERIAL DE LIMPIEZA</t>
  </si>
  <si>
    <t>B1500002854</t>
  </si>
  <si>
    <t>B1500000014</t>
  </si>
  <si>
    <t>G.E ELECTROMECANICA</t>
  </si>
  <si>
    <t>ALQUILER DE MORGUE</t>
  </si>
  <si>
    <t>GERENFAR,SRL</t>
  </si>
  <si>
    <t>B1500001684</t>
  </si>
  <si>
    <t>GL PROMOCIONES ,SRL</t>
  </si>
  <si>
    <t>COMPRA PRISMA  OPTICO REFLE</t>
  </si>
  <si>
    <t>B1500003624</t>
  </si>
  <si>
    <t>HOSPIFAR,SRL</t>
  </si>
  <si>
    <t>B1500003708</t>
  </si>
  <si>
    <t>B1500003821</t>
  </si>
  <si>
    <t>B1500004770</t>
  </si>
  <si>
    <t>B1500005413</t>
  </si>
  <si>
    <t>B1500005843</t>
  </si>
  <si>
    <t>COMPRA DE ABSORBEDOR DE DIOXIDO</t>
  </si>
  <si>
    <t>B1500006053</t>
  </si>
  <si>
    <t>B1500006154</t>
  </si>
  <si>
    <t>B1500006165</t>
  </si>
  <si>
    <t>B1500006219</t>
  </si>
  <si>
    <t>B1500006240</t>
  </si>
  <si>
    <t>B1500006270</t>
  </si>
  <si>
    <t>B1500006287</t>
  </si>
  <si>
    <t>B1500009666</t>
  </si>
  <si>
    <t>HOSPALMEDICA</t>
  </si>
  <si>
    <t>B1500011945</t>
  </si>
  <si>
    <t>HIDROMED,SRL</t>
  </si>
  <si>
    <t>INDO QUIMICA,S.A.S.</t>
  </si>
  <si>
    <t>B1500000658</t>
  </si>
  <si>
    <t>B1500000599</t>
  </si>
  <si>
    <t>B1500000610</t>
  </si>
  <si>
    <t>B1500000619</t>
  </si>
  <si>
    <t>B1500000623</t>
  </si>
  <si>
    <t>B1500000622</t>
  </si>
  <si>
    <t>B1500000625</t>
  </si>
  <si>
    <t>B1500000107</t>
  </si>
  <si>
    <t>IVASCULAR DOMINICANA,SRL</t>
  </si>
  <si>
    <t>B1500000110</t>
  </si>
  <si>
    <t>B1500000013</t>
  </si>
  <si>
    <t>INGENIERIA Y SOLUCIONES,SRL (BUHORMI )</t>
  </si>
  <si>
    <t>B1500000989</t>
  </si>
  <si>
    <t>JBL JEAN CARLOS BASULTO</t>
  </si>
  <si>
    <t>B1500001178</t>
  </si>
  <si>
    <t>B1500001183</t>
  </si>
  <si>
    <t>B1500001259</t>
  </si>
  <si>
    <t>B1500001304</t>
  </si>
  <si>
    <t>B1500001345</t>
  </si>
  <si>
    <t>B1500001346</t>
  </si>
  <si>
    <t>B1500001364</t>
  </si>
  <si>
    <t>B1500001373</t>
  </si>
  <si>
    <t>B1500001379</t>
  </si>
  <si>
    <t>B1500001397</t>
  </si>
  <si>
    <t>B1500001396</t>
  </si>
  <si>
    <t>B1500001440</t>
  </si>
  <si>
    <t>B1500001493</t>
  </si>
  <si>
    <t>B1500001498</t>
  </si>
  <si>
    <t>B1500001517</t>
  </si>
  <si>
    <t>B1500001525</t>
  </si>
  <si>
    <t>B1500001541</t>
  </si>
  <si>
    <t>B1500001550</t>
  </si>
  <si>
    <t>B1500001548</t>
  </si>
  <si>
    <t>COMPRA DE SUPLEMENTO/BEBIDA/ALIM.</t>
  </si>
  <si>
    <t>B1500001549</t>
  </si>
  <si>
    <t>B1500001589</t>
  </si>
  <si>
    <r>
      <t>COMPRA DE AGUA OXIGENADA GL 3</t>
    </r>
    <r>
      <rPr>
        <strike/>
        <sz val="11"/>
        <color theme="1"/>
        <rFont val="Calibri"/>
        <family val="2"/>
        <scheme val="minor"/>
      </rPr>
      <t>%</t>
    </r>
  </si>
  <si>
    <t>B1500001593</t>
  </si>
  <si>
    <t>B1500001597</t>
  </si>
  <si>
    <t>B1500001598</t>
  </si>
  <si>
    <t>B1500001596</t>
  </si>
  <si>
    <t>COMPRA DE MEDICAMENTO</t>
  </si>
  <si>
    <t>B1500001594</t>
  </si>
  <si>
    <t>B1500001615</t>
  </si>
  <si>
    <t>B1500001623</t>
  </si>
  <si>
    <t>B1500001749</t>
  </si>
  <si>
    <t>LUIS E BETANCES</t>
  </si>
  <si>
    <t>B1500000199</t>
  </si>
  <si>
    <t>MACROTECH</t>
  </si>
  <si>
    <t>B1500006220</t>
  </si>
  <si>
    <t>COMPRA DE BAJANTE</t>
  </si>
  <si>
    <t>B1500006225</t>
  </si>
  <si>
    <t xml:space="preserve">COMPRA DE BAJANTE </t>
  </si>
  <si>
    <t>B1500006261</t>
  </si>
  <si>
    <t>B1500002437</t>
  </si>
  <si>
    <t>B1500002915</t>
  </si>
  <si>
    <t>B1500003074</t>
  </si>
  <si>
    <t>B1500003133</t>
  </si>
  <si>
    <t>COMPRA DE OXIRIO PLUS</t>
  </si>
  <si>
    <t>B1500000275</t>
  </si>
  <si>
    <t>MATERLEX SERVICIOS M.G.</t>
  </si>
  <si>
    <t>B1500000012</t>
  </si>
  <si>
    <t xml:space="preserve">MAXIMILIANO ENCARNACION  MEJIA </t>
  </si>
  <si>
    <t xml:space="preserve">COMPRA DE CARRITOS DE COMPRA </t>
  </si>
  <si>
    <t>MAXIMO GOMEZ P.,S.A</t>
  </si>
  <si>
    <t>MEDKEY,SRL</t>
  </si>
  <si>
    <t>B1500000148</t>
  </si>
  <si>
    <t>MEGALABS,SRL</t>
  </si>
  <si>
    <t>B1500000291</t>
  </si>
  <si>
    <t>B1500000292</t>
  </si>
  <si>
    <t>B1500000322</t>
  </si>
  <si>
    <t>MRO MANTENIMIENTO OPERACIÓN &amp; REPARACION</t>
  </si>
  <si>
    <t xml:space="preserve">COMPRA DE MATERIALES ELECTRICOS </t>
  </si>
  <si>
    <t>B1500033984</t>
  </si>
  <si>
    <t>B1500000220</t>
  </si>
  <si>
    <t>OFTALQUIP,SRL</t>
  </si>
  <si>
    <t>COMRPA DE MATERIALES MEDICO</t>
  </si>
  <si>
    <t>B1500000237</t>
  </si>
  <si>
    <t>B1500000236</t>
  </si>
  <si>
    <t>B1500000238</t>
  </si>
  <si>
    <t>B1500000241</t>
  </si>
  <si>
    <t>B1500000244</t>
  </si>
  <si>
    <t>B1500000248</t>
  </si>
  <si>
    <t>B1500000247</t>
  </si>
  <si>
    <t>B1500000250</t>
  </si>
  <si>
    <t>B1500004204</t>
  </si>
  <si>
    <t>B1500004266</t>
  </si>
  <si>
    <t>B1500004539</t>
  </si>
  <si>
    <t>B1500004550</t>
  </si>
  <si>
    <t>B1500004548</t>
  </si>
  <si>
    <t>B1500005370</t>
  </si>
  <si>
    <t>B1500006592</t>
  </si>
  <si>
    <t>B1500006717</t>
  </si>
  <si>
    <t>B1500006943</t>
  </si>
  <si>
    <t>B1500006975</t>
  </si>
  <si>
    <t>B1500007027</t>
  </si>
  <si>
    <t>B1500007029</t>
  </si>
  <si>
    <t>B1500007026</t>
  </si>
  <si>
    <t>OSEAANA HEALTHCARE,SRL</t>
  </si>
  <si>
    <t>COMPRA DE BATAS DESECHABLE</t>
  </si>
  <si>
    <t>PENTAFARMA</t>
  </si>
  <si>
    <t>B1500000975</t>
  </si>
  <si>
    <t>PEREZ BARROSO</t>
  </si>
  <si>
    <t>B1500051668</t>
  </si>
  <si>
    <t>PHARMATECH</t>
  </si>
  <si>
    <t>B1500052758</t>
  </si>
  <si>
    <t>B1500052868</t>
  </si>
  <si>
    <t>B1500068955</t>
  </si>
  <si>
    <t>B1500070566</t>
  </si>
  <si>
    <t>B1500070789</t>
  </si>
  <si>
    <t>B1500001391</t>
  </si>
  <si>
    <t>PROMEDICA</t>
  </si>
  <si>
    <t>B1500001431</t>
  </si>
  <si>
    <t>B1500001435</t>
  </si>
  <si>
    <t>SERV.MANT.CORRECTIVO ECOGRAFO</t>
  </si>
  <si>
    <t>B1500001472</t>
  </si>
  <si>
    <t>B1500019838</t>
  </si>
  <si>
    <t>PROMESECAL</t>
  </si>
  <si>
    <t>B1500020590</t>
  </si>
  <si>
    <t>B1500020954</t>
  </si>
  <si>
    <t>B1500020953</t>
  </si>
  <si>
    <t>B1500021373</t>
  </si>
  <si>
    <t>B1500021997</t>
  </si>
  <si>
    <t>B1500022453</t>
  </si>
  <si>
    <t>B1500022452</t>
  </si>
  <si>
    <t>B1500023140</t>
  </si>
  <si>
    <t>B1500001556</t>
  </si>
  <si>
    <t>QUIROFANOS, SRL</t>
  </si>
  <si>
    <t>B1500001632</t>
  </si>
  <si>
    <t>B1500001634</t>
  </si>
  <si>
    <t>B1500001637</t>
  </si>
  <si>
    <t>B1500001641</t>
  </si>
  <si>
    <t>COMPRA DE SOFA CAMA</t>
  </si>
  <si>
    <t>B1500001647</t>
  </si>
  <si>
    <t>COMPRA DE MESA</t>
  </si>
  <si>
    <t>B1500001648</t>
  </si>
  <si>
    <t>B1500001650</t>
  </si>
  <si>
    <t>B1500001652</t>
  </si>
  <si>
    <t>B1500001658</t>
  </si>
  <si>
    <t>B1500001657</t>
  </si>
  <si>
    <t>B1500001660</t>
  </si>
  <si>
    <t>B1500001661</t>
  </si>
  <si>
    <t>B1500001665</t>
  </si>
  <si>
    <t>B1500001667</t>
  </si>
  <si>
    <t>B1500001670</t>
  </si>
  <si>
    <t>B1500001671</t>
  </si>
  <si>
    <t xml:space="preserve">COMPRA DE MATERIALES DE OFICINA </t>
  </si>
  <si>
    <t>B1500001673</t>
  </si>
  <si>
    <t>B1500001676</t>
  </si>
  <si>
    <t>B1500001678</t>
  </si>
  <si>
    <t>B1500001682</t>
  </si>
  <si>
    <t>B1500001685</t>
  </si>
  <si>
    <t>B1500001696</t>
  </si>
  <si>
    <t>B1500001701</t>
  </si>
  <si>
    <t>B1500001704</t>
  </si>
  <si>
    <t>B1500001719</t>
  </si>
  <si>
    <t xml:space="preserve">COMPRA DE MESA ALIMENTACION </t>
  </si>
  <si>
    <t>B1500001720</t>
  </si>
  <si>
    <t>SERV.SISTEMA P/MANTAS TERMICAS</t>
  </si>
  <si>
    <t>B1500001727</t>
  </si>
  <si>
    <t>B1500001730</t>
  </si>
  <si>
    <t>B1500001732</t>
  </si>
  <si>
    <t>B1500001736</t>
  </si>
  <si>
    <t>RAMIREZ &amp; MOJICA ENVOY PACK COURIER</t>
  </si>
  <si>
    <t xml:space="preserve">COMPRA DE MAT.DE COMPUTOS </t>
  </si>
  <si>
    <t xml:space="preserve">COMPRA DE ESCALERA DE ALUMINIO </t>
  </si>
  <si>
    <t>B1500003070</t>
  </si>
  <si>
    <t>REFERENCIA LABORATORIO</t>
  </si>
  <si>
    <t>B1500003130</t>
  </si>
  <si>
    <t>B1500003193</t>
  </si>
  <si>
    <t>B1500003251</t>
  </si>
  <si>
    <t>B1500003315</t>
  </si>
  <si>
    <t>B1500003384</t>
  </si>
  <si>
    <t>B1500003437</t>
  </si>
  <si>
    <t>B1500003577</t>
  </si>
  <si>
    <t>B1500003650</t>
  </si>
  <si>
    <t>B1500003519</t>
  </si>
  <si>
    <t>B1500000649</t>
  </si>
  <si>
    <t>REFRICLIMA HF,SRL</t>
  </si>
  <si>
    <t>B1500000924</t>
  </si>
  <si>
    <t>RONAJUS FARMACEUTICA,SRL</t>
  </si>
  <si>
    <t xml:space="preserve">COMPRA DE MATERIALES GASTABLE </t>
  </si>
  <si>
    <t>B1500000091</t>
  </si>
  <si>
    <t>SANTOS &amp; ORTIZ GROUP,SRL</t>
  </si>
  <si>
    <t>B1500000114</t>
  </si>
  <si>
    <t>B1500001426</t>
  </si>
  <si>
    <t>B1500001427</t>
  </si>
  <si>
    <t>B1500001460</t>
  </si>
  <si>
    <t xml:space="preserve">SEMINSA, S.A. </t>
  </si>
  <si>
    <t xml:space="preserve">HORA DE MANTENIMIENTO </t>
  </si>
  <si>
    <t>B1500001459</t>
  </si>
  <si>
    <t>B1500001458</t>
  </si>
  <si>
    <t>B1500001703</t>
  </si>
  <si>
    <t>B1500001410</t>
  </si>
  <si>
    <t>B1500001411</t>
  </si>
  <si>
    <t>B1500001456</t>
  </si>
  <si>
    <t>B1500001462</t>
  </si>
  <si>
    <t>B1500001461</t>
  </si>
  <si>
    <t>B1500001457</t>
  </si>
  <si>
    <t>MANTENIMIENTOS DE EQUIPOS</t>
  </si>
  <si>
    <t>B1500001659</t>
  </si>
  <si>
    <t>B1500001662</t>
  </si>
  <si>
    <t>B1500001663</t>
  </si>
  <si>
    <t>B1500001656</t>
  </si>
  <si>
    <t>B1500001664</t>
  </si>
  <si>
    <t>B1500001680</t>
  </si>
  <si>
    <t>B1500001681</t>
  </si>
  <si>
    <t>B1500001683</t>
  </si>
  <si>
    <t>B1500001687</t>
  </si>
  <si>
    <t>B1500001686</t>
  </si>
  <si>
    <t>B1500001688</t>
  </si>
  <si>
    <t>B1500001705</t>
  </si>
  <si>
    <t>B1500001717</t>
  </si>
  <si>
    <t>B1500001729</t>
  </si>
  <si>
    <t>B1500001766</t>
  </si>
  <si>
    <t>B1500001764</t>
  </si>
  <si>
    <t>B1500001765</t>
  </si>
  <si>
    <t>B1500001763</t>
  </si>
  <si>
    <t>B1500001762</t>
  </si>
  <si>
    <t>B1500001761</t>
  </si>
  <si>
    <t>B1500001769</t>
  </si>
  <si>
    <t>B1500001777</t>
  </si>
  <si>
    <t>B1500001794</t>
  </si>
  <si>
    <t>B1500001800</t>
  </si>
  <si>
    <t>B1500001814</t>
  </si>
  <si>
    <t>B1500001813</t>
  </si>
  <si>
    <t>B1500001812</t>
  </si>
  <si>
    <t>B1500001810</t>
  </si>
  <si>
    <t>B1500001809</t>
  </si>
  <si>
    <t>B1500001811</t>
  </si>
  <si>
    <t>B1500001808</t>
  </si>
  <si>
    <t>MANTENIMIENTO DE EQUIPO</t>
  </si>
  <si>
    <t>B1500001807</t>
  </si>
  <si>
    <t>B1500001837</t>
  </si>
  <si>
    <t>B1500001838</t>
  </si>
  <si>
    <t>B1500001859</t>
  </si>
  <si>
    <t>B1500001870</t>
  </si>
  <si>
    <t>B1500001873</t>
  </si>
  <si>
    <t>B1500001881</t>
  </si>
  <si>
    <t>B1500001961</t>
  </si>
  <si>
    <t>B1500001963</t>
  </si>
  <si>
    <t>B1500001962</t>
  </si>
  <si>
    <t>B1500001981</t>
  </si>
  <si>
    <t>HORAS EN MANTENIMIENTO CORRECTIVO</t>
  </si>
  <si>
    <t>B1500001982</t>
  </si>
  <si>
    <t>B1500001984</t>
  </si>
  <si>
    <t>B1500001983</t>
  </si>
  <si>
    <t>B1500001986</t>
  </si>
  <si>
    <t>B1500002019</t>
  </si>
  <si>
    <t>B1500002071</t>
  </si>
  <si>
    <t>B1500002080</t>
  </si>
  <si>
    <t>B1500002079</t>
  </si>
  <si>
    <t>B1500002081</t>
  </si>
  <si>
    <t>B1500002112</t>
  </si>
  <si>
    <t>MANGUERAS/HORAS EN MANTENIMIENTO</t>
  </si>
  <si>
    <t>B1500002113</t>
  </si>
  <si>
    <t>B1500002116</t>
  </si>
  <si>
    <t>B1500002117</t>
  </si>
  <si>
    <t>B1500002143</t>
  </si>
  <si>
    <t>B1500002145</t>
  </si>
  <si>
    <t>B1500002144</t>
  </si>
  <si>
    <t>B1500002152</t>
  </si>
  <si>
    <t>MANTENIMIENTO PREVENTIVO GRAL.</t>
  </si>
  <si>
    <t>B1500002160</t>
  </si>
  <si>
    <t>SERD NET</t>
  </si>
  <si>
    <t>COMPRA DE SOBRE MANILLA TIMBRADO</t>
  </si>
  <si>
    <t>B1500000328</t>
  </si>
  <si>
    <t>SERVIMEDIC SI,SRL</t>
  </si>
  <si>
    <t>SIALAP SOLUCIONES,SRL</t>
  </si>
  <si>
    <t xml:space="preserve">COMPRA DE FOLDER EN CARTULINA </t>
  </si>
  <si>
    <t xml:space="preserve">COMPRA FOLDER CARTULINA </t>
  </si>
  <si>
    <t>B1500000259</t>
  </si>
  <si>
    <t xml:space="preserve">COMPRA DE CAJA FOLDER EN CARTULINA </t>
  </si>
  <si>
    <t>B1500000271</t>
  </si>
  <si>
    <t>B1500000272</t>
  </si>
  <si>
    <t>B1500000277</t>
  </si>
  <si>
    <t>COMPRA DE TONER HP</t>
  </si>
  <si>
    <t>B1500000295</t>
  </si>
  <si>
    <t>B1500000311</t>
  </si>
  <si>
    <t>B1500000317</t>
  </si>
  <si>
    <t xml:space="preserve">COMPRA DE MATERIALES DESECHABLES </t>
  </si>
  <si>
    <t>COMPRA DE TONER</t>
  </si>
  <si>
    <t>B1500000324</t>
  </si>
  <si>
    <t>COMPRA DE PILAS ALCALINAS AA</t>
  </si>
  <si>
    <t>B1500000326</t>
  </si>
  <si>
    <t>COMPRA ROLLOS ETIQUETA TERMICO</t>
  </si>
  <si>
    <t>B1500000329</t>
  </si>
  <si>
    <t>B1500000482</t>
  </si>
  <si>
    <t>SOLDIER VALET</t>
  </si>
  <si>
    <t>COMPRA DE LAMPARA LED</t>
  </si>
  <si>
    <t>B1500000053</t>
  </si>
  <si>
    <t>REPARACION UPS RAYOS X</t>
  </si>
  <si>
    <t>B1500013284</t>
  </si>
  <si>
    <t>SUED &amp; FARGESA,SRL</t>
  </si>
  <si>
    <t>B1500013780</t>
  </si>
  <si>
    <t>B1500017333</t>
  </si>
  <si>
    <t>B1500017577</t>
  </si>
  <si>
    <t>B1500018117</t>
  </si>
  <si>
    <t>B1500000348</t>
  </si>
  <si>
    <t>SUIPHAR DOMINICANA,SRL</t>
  </si>
  <si>
    <t>B1500000363</t>
  </si>
  <si>
    <t>B1500000380</t>
  </si>
  <si>
    <t>B1500000910</t>
  </si>
  <si>
    <t>SUPERMERCADO CARIBE</t>
  </si>
  <si>
    <t>COMPRA DE ALIMENTOS</t>
  </si>
  <si>
    <t>B1500001177</t>
  </si>
  <si>
    <t>B1500000946</t>
  </si>
  <si>
    <t>S/N</t>
  </si>
  <si>
    <t>B1500000752</t>
  </si>
  <si>
    <t>SUPLIDORA DANIELA ,SRL</t>
  </si>
  <si>
    <t>MATERIAL DE OFICINA</t>
  </si>
  <si>
    <t>TECNI MEDICA,SRL</t>
  </si>
  <si>
    <t>SERV.TECNICO PREVENTIVO Y MANT.DE AGUA</t>
  </si>
  <si>
    <t>B1500000178</t>
  </si>
  <si>
    <t>B1500000180</t>
  </si>
  <si>
    <t>COMPRA DE SAL EVAPORADA PELLETS</t>
  </si>
  <si>
    <t>TIGHTMED,SRL</t>
  </si>
  <si>
    <t>B1500000261</t>
  </si>
  <si>
    <t>B1500000320</t>
  </si>
  <si>
    <t>B1500000351</t>
  </si>
  <si>
    <t>B1500000356</t>
  </si>
  <si>
    <t>B1500000379</t>
  </si>
  <si>
    <t>B1500000050</t>
  </si>
  <si>
    <t>TRANSPORTE FERNANDEZ JAQUEZ</t>
  </si>
  <si>
    <t>ALQUILER TRANSPORTE</t>
  </si>
  <si>
    <t>B1500000051</t>
  </si>
  <si>
    <t>B1500000052</t>
  </si>
  <si>
    <t>B1500000054</t>
  </si>
  <si>
    <t>B1500000056</t>
  </si>
  <si>
    <t>ALQUILER DE TRANSPORTE</t>
  </si>
  <si>
    <t>B1500001899</t>
  </si>
  <si>
    <t xml:space="preserve">ULTRALAB </t>
  </si>
  <si>
    <t>B1500001901</t>
  </si>
  <si>
    <t>ULTRALAB</t>
  </si>
  <si>
    <t>B1500002307</t>
  </si>
  <si>
    <t>B1500002360</t>
  </si>
  <si>
    <t>B1500002384</t>
  </si>
  <si>
    <t>B1500002395</t>
  </si>
  <si>
    <t>B1500002397</t>
  </si>
  <si>
    <t>B1500002396</t>
  </si>
  <si>
    <t>B1500002394</t>
  </si>
  <si>
    <t>B1500002414</t>
  </si>
  <si>
    <t>B1500002424</t>
  </si>
  <si>
    <t>B1500002441</t>
  </si>
  <si>
    <t>B1500002443</t>
  </si>
  <si>
    <t>B1500002475</t>
  </si>
  <si>
    <t>B1500002492</t>
  </si>
  <si>
    <t>B1500002507</t>
  </si>
  <si>
    <t>B1500002530</t>
  </si>
  <si>
    <t>B1500002532</t>
  </si>
  <si>
    <t>VICTORIA TRADING,SRL</t>
  </si>
  <si>
    <t>WG SOLUCIONES MEDICAS,SRL</t>
  </si>
  <si>
    <t>B1500000228</t>
  </si>
  <si>
    <t>YONA YONEL DIESEL,SRL</t>
  </si>
  <si>
    <t>COMPRA DE DIESEL</t>
  </si>
  <si>
    <t>B1500000273</t>
  </si>
  <si>
    <t>COMPRA DE COMBUSTIBLE (DIESEL )</t>
  </si>
  <si>
    <t>Revisado por: Francisco Villabrille</t>
  </si>
  <si>
    <t>Encargado Cuentas por Pagar</t>
  </si>
  <si>
    <t>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</si>
  <si>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</si>
  <si>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</si>
  <si>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</si>
  <si>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</si>
  <si>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</si>
  <si>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</si>
  <si>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</si>
  <si>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</si>
  <si>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</si>
  <si>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</si>
  <si>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</si>
  <si>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</si>
  <si>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Banco del Reservas Cta. 015-001312-4 Fondo de Ayudas y Donaciones</t>
  </si>
  <si>
    <t>Banco del Reservas Cta. 015-001311-6 Fondo Operacional</t>
  </si>
  <si>
    <t>Fondo de Caja (Cafeteria)</t>
  </si>
  <si>
    <t>Fondo de Caja (Centro)</t>
  </si>
  <si>
    <t>Nota #8</t>
  </si>
  <si>
    <t>Cuentas por Cobrar (Nota 8-1)</t>
  </si>
  <si>
    <t>Cuenta por Cobrar Paciente</t>
  </si>
  <si>
    <t>Nota 8-1</t>
  </si>
  <si>
    <t xml:space="preserve">     </t>
  </si>
  <si>
    <t>ARS IDOPRIL</t>
  </si>
  <si>
    <t>Nota 8-2</t>
  </si>
  <si>
    <t>Riesgo Laboral (ARL)</t>
  </si>
  <si>
    <t>Nota 9</t>
  </si>
  <si>
    <t>Nota 10</t>
  </si>
  <si>
    <t>Licencia Informatica</t>
  </si>
  <si>
    <t>Nota 11</t>
  </si>
  <si>
    <t>Retiros</t>
  </si>
  <si>
    <t>Nota 12</t>
  </si>
  <si>
    <t>Proveedor Otros</t>
  </si>
  <si>
    <t>Nota 13</t>
  </si>
  <si>
    <t>Retencion 30%</t>
  </si>
  <si>
    <t>Retencion 5%</t>
  </si>
  <si>
    <t>Retencion 10%</t>
  </si>
  <si>
    <t>Retencion 2%</t>
  </si>
  <si>
    <t>Total Retencion y Acumulaciones por Pagar</t>
  </si>
  <si>
    <t>Nota 14</t>
  </si>
  <si>
    <t>Resultados Periodo Anteriores</t>
  </si>
  <si>
    <t>Resultados del Periodo</t>
  </si>
  <si>
    <t>Total Patrimonio</t>
  </si>
  <si>
    <t>Nota 15</t>
  </si>
  <si>
    <t>Otros Cafetería</t>
  </si>
  <si>
    <t>Nota 16</t>
  </si>
  <si>
    <t>Transferencia Corrientes Recibidas</t>
  </si>
  <si>
    <t>Total Transferencias Recibidas</t>
  </si>
  <si>
    <t>Nota 17</t>
  </si>
  <si>
    <t>Remuneración al Personal con Carácter Transitorio (Nota 17-1)</t>
  </si>
  <si>
    <t>2</t>
  </si>
  <si>
    <t>1</t>
  </si>
  <si>
    <t>08</t>
  </si>
  <si>
    <t xml:space="preserve">Sueldo Anual No. 13 </t>
  </si>
  <si>
    <t>`01</t>
  </si>
  <si>
    <t>`02</t>
  </si>
  <si>
    <t xml:space="preserve">    </t>
  </si>
  <si>
    <t xml:space="preserve">Total Remuneraciones </t>
  </si>
  <si>
    <t>Nota 17-1</t>
  </si>
  <si>
    <t>Sueldo Personal Contratado y/o Igualado</t>
  </si>
  <si>
    <t>`03</t>
  </si>
  <si>
    <t>Total Remineracion al Personal Contratado u/o Igualado</t>
  </si>
  <si>
    <t>Nota 17-2</t>
  </si>
  <si>
    <t>Prestaciones Economicas</t>
  </si>
  <si>
    <t>5</t>
  </si>
  <si>
    <t>Prestacion Laboral por Desvinculacion</t>
  </si>
  <si>
    <t>Proporcion de Vacasiones no Disfrutadas</t>
  </si>
  <si>
    <t>`04</t>
  </si>
  <si>
    <t>Total Pretacion Economica</t>
  </si>
  <si>
    <t>Nota 17-3</t>
  </si>
  <si>
    <t>`05</t>
  </si>
  <si>
    <t>`06</t>
  </si>
  <si>
    <t>`08</t>
  </si>
  <si>
    <t>Bono por desempeno</t>
  </si>
  <si>
    <t>09</t>
  </si>
  <si>
    <t>Nota 17-4</t>
  </si>
  <si>
    <t>Nota 18</t>
  </si>
  <si>
    <t>Total Tranferencias y Donaciones Corrientes</t>
  </si>
  <si>
    <t>Nota 19</t>
  </si>
  <si>
    <t>Nota 20</t>
  </si>
  <si>
    <t>Dep. Acum. de Muebles de Oficina</t>
  </si>
  <si>
    <t>Dep. Acum. de Computadora</t>
  </si>
  <si>
    <t>Dep. Acum. Equipos de Transporte</t>
  </si>
  <si>
    <t>Dep. Acum. de Otros Activos</t>
  </si>
  <si>
    <t>Dep. Acum. de Equipos Medico</t>
  </si>
  <si>
    <t>NOTA 21</t>
  </si>
  <si>
    <t>Seguros</t>
  </si>
  <si>
    <t>Total de Servicios No Persinales</t>
  </si>
  <si>
    <t>Al 31 de Octubre del 2021 y  Octubre  2020,los gastos por compensación  presentan balances por RD$ 519,649.00  y RD$ 372,854.00</t>
  </si>
  <si>
    <t>Al 31 de Octubre del 2021 y al 31 de Octubre 2020 los gastos por concepto de contribuciones a la seguridad social,tienen balances para</t>
  </si>
  <si>
    <t>el año 2021 RD$ 3,809,423..85 y para el 2020 RD$ 2,337,280.24 respectivamente,mostrando un incemento por RD$ 1,400,101.90 lo que  equivale a</t>
  </si>
  <si>
    <t>Al 3\1 de Octubre del 2021 y al 31 de Octubre  2020, los Gastos por concepto de subvenciones por transferencias incurridas durante</t>
  </si>
  <si>
    <t xml:space="preserve">Durante los periodos del 31 Octubre 2021 y 31 de Octubre 2020, los gastos por  materiales y suministros incurridos  tienen   balances por                  </t>
  </si>
  <si>
    <t>RD$ 48,404,161.57  y RD$ 13,924,634.71 respectivamente, mostrando un aumento  de RD$ 34,676,797.54 para el 2021, lo que equivale a</t>
  </si>
  <si>
    <t xml:space="preserve">Al 31 de Octubre del 2021 y  31 de Octubre  2020, los gastos por concepto de depreciación y amortización presentan balances por valor de               </t>
  </si>
  <si>
    <t>Al 31 de Octubre del 2021 y al 31 de Octubre  2020, los gastos por concepto de servicios no personales presentan balances por valor de</t>
  </si>
  <si>
    <t>Ajuse Años Anteriores</t>
  </si>
  <si>
    <t>BAJANTE CONTINUO-FLO/BAXTER</t>
  </si>
  <si>
    <t>CINTA TESTIGO P/EST .3M-ROLLO</t>
  </si>
  <si>
    <t>SOL. SALINA 0.9% - 500ML</t>
  </si>
  <si>
    <t>DURAPREP-3M  SOL. 26ML REF8630</t>
  </si>
  <si>
    <t>ELECTRODOS PARA ECG ADULTO</t>
  </si>
  <si>
    <t xml:space="preserve">GUANTE ESTERIL SIN LATEX # 8.0 </t>
  </si>
  <si>
    <t>GUANTE ESTERIL SIN LATEX #7.0</t>
  </si>
  <si>
    <t>GUANTE ESTERIL SIN LATEX #7.5</t>
  </si>
  <si>
    <t>HILO NYLON 4-0 REF 14502</t>
  </si>
  <si>
    <t>HILO NYLON 6-0 REF.160T</t>
  </si>
  <si>
    <t>HILO SEDA 0 REF.834H</t>
  </si>
  <si>
    <t>HILO SEDA 2.0 REF. 623H</t>
  </si>
  <si>
    <t>HILO SEDA 2-0 REF. k833H</t>
  </si>
  <si>
    <t>JERINGA DE INSULINA MAMEY 1CC (DONADA)</t>
  </si>
  <si>
    <t xml:space="preserve">KIT DE DRENAJE LUMBAR EXTERNO EDM  </t>
  </si>
  <si>
    <t>LENTES DE CONTACTO</t>
  </si>
  <si>
    <t>MANTA TERMICA POR DEBAJO DEL CUERPO</t>
  </si>
  <si>
    <t>MARIPOSITA DESECHABLE # 23</t>
  </si>
  <si>
    <t>OPOH20L SLEEVES/CAPUCHONE</t>
  </si>
  <si>
    <t>PAPEL P/ELECTRO AR 600 ADV PHILLIP  -</t>
  </si>
  <si>
    <t xml:space="preserve">PARCHO DE OJO </t>
  </si>
  <si>
    <t>SET TUBO DE ASPIRAC.-MXA-PA (manguera misonix)</t>
  </si>
  <si>
    <t>VALVED ENYTRY SISTEM 25G</t>
  </si>
  <si>
    <t>METILPREDNISOLONA 40MG I.V.-SOLU-MEDROL</t>
  </si>
  <si>
    <t>ABINTRA SOBRE 27GR</t>
  </si>
  <si>
    <t>AMIODARONA 200MG/TABLETA</t>
  </si>
  <si>
    <t>BRIDION 100MG/ML -FRASC. SOL.SUGAMMADEX</t>
  </si>
  <si>
    <t xml:space="preserve">CIPROFLOXACINA 200MG/100ML </t>
  </si>
  <si>
    <t>ESMOLOL</t>
  </si>
  <si>
    <t>FENILEFRINA GRAY 10MG/ML AMP X 1ML</t>
  </si>
  <si>
    <t>FLUMAZENILO 0.5MG AMP.</t>
  </si>
  <si>
    <t>HALOPERIDOL 5MG/ML</t>
  </si>
  <si>
    <t xml:space="preserve">LENTE TECNIS </t>
  </si>
  <si>
    <t xml:space="preserve">MASCARA LARINGUEA # 3.0 REUSABLE </t>
  </si>
  <si>
    <t>NISTATINA SUSP. 30ML FRASC.*</t>
  </si>
  <si>
    <t>OMEPRAZOL 20 MG. CAPSULA</t>
  </si>
  <si>
    <t>QUETIAPINA 25 MG TAB</t>
  </si>
  <si>
    <t xml:space="preserve">SOL. INDOXITOL ( XILITOL 5%) 1000ML </t>
  </si>
  <si>
    <t>TERMOMETRO ORAL</t>
  </si>
  <si>
    <t>VALSARTAN 160 MG. TABLETA</t>
  </si>
  <si>
    <t>VISION BLUE 0.05% SOL. 1.5ML FRASC. RS</t>
  </si>
  <si>
    <t>Aprobado por: Licdo. Blas Cruz Duran</t>
  </si>
  <si>
    <t>24/11/2023</t>
  </si>
  <si>
    <t>20/11/2023</t>
  </si>
  <si>
    <t>LIBRETAS RAYADAS PEQUEÑA 8 1/2 X 11</t>
  </si>
  <si>
    <t>PLATOS DESECHABLES # 6"</t>
  </si>
  <si>
    <t>VASOS DESECHABLE FOAN #12</t>
  </si>
  <si>
    <t>B1500000620</t>
  </si>
  <si>
    <t>B1500000628</t>
  </si>
  <si>
    <t>B1500000636</t>
  </si>
  <si>
    <t>MATERIAL MEDICO</t>
  </si>
  <si>
    <t>B1500165502</t>
  </si>
  <si>
    <t>AGUA PLANETA AZUL</t>
  </si>
  <si>
    <t>B1500165265</t>
  </si>
  <si>
    <t>B1500165837</t>
  </si>
  <si>
    <t>B1500165987</t>
  </si>
  <si>
    <t>B1500166101</t>
  </si>
  <si>
    <t>B1500162751</t>
  </si>
  <si>
    <t>B1500166210</t>
  </si>
  <si>
    <t>B1500012328</t>
  </si>
  <si>
    <t>BIO NOVA, SRL</t>
  </si>
  <si>
    <t>B1500013410</t>
  </si>
  <si>
    <t>BIO NOVA,SRL</t>
  </si>
  <si>
    <t>B1500001150</t>
  </si>
  <si>
    <t>COMPRA DE LENTES DE CONTACTO</t>
  </si>
  <si>
    <t>B1500001176</t>
  </si>
  <si>
    <t>MEDICAMENTOS</t>
  </si>
  <si>
    <t>B1500000447</t>
  </si>
  <si>
    <t>B1500000458</t>
  </si>
  <si>
    <t>B1500000459</t>
  </si>
  <si>
    <t>B1500000460</t>
  </si>
  <si>
    <t>CORAMCA, SRL</t>
  </si>
  <si>
    <t xml:space="preserve">COMPRA DE MATERIALES PLOMERIA </t>
  </si>
  <si>
    <t>CLINIMED</t>
  </si>
  <si>
    <t>PRODUCTO QUIMICO</t>
  </si>
  <si>
    <t>DOCTORES MALLEN GUERRA, S.A</t>
  </si>
  <si>
    <t>B1500003186</t>
  </si>
  <si>
    <t>B1500000409</t>
  </si>
  <si>
    <t>DIMEDOM, SRL</t>
  </si>
  <si>
    <t>B1500001296</t>
  </si>
  <si>
    <t>DAF TRADING, SRL</t>
  </si>
  <si>
    <t>B1500000785</t>
  </si>
  <si>
    <t>DUCTO LIMPIO, SRL</t>
  </si>
  <si>
    <t>SERVICIO DE LIMPIEZA Y MANT</t>
  </si>
  <si>
    <t>B1500000840</t>
  </si>
  <si>
    <t>B1500000853</t>
  </si>
  <si>
    <t>B1500001990</t>
  </si>
  <si>
    <t>EPX DOMINICANA, SRL</t>
  </si>
  <si>
    <t>B1500052568</t>
  </si>
  <si>
    <t>B1500052653</t>
  </si>
  <si>
    <t>B1500052652</t>
  </si>
  <si>
    <t>B1500052684</t>
  </si>
  <si>
    <t>B1500052754</t>
  </si>
  <si>
    <t>B1500052756</t>
  </si>
  <si>
    <t>B1500052735</t>
  </si>
  <si>
    <t>B1500052761</t>
  </si>
  <si>
    <t>B1500052992</t>
  </si>
  <si>
    <t>B1500053696</t>
  </si>
  <si>
    <t>SISTEMA DRENAJE EXTERNO</t>
  </si>
  <si>
    <t>B1500053695</t>
  </si>
  <si>
    <t>B1500053958</t>
  </si>
  <si>
    <t>B1500000803</t>
  </si>
  <si>
    <t>B1500000812</t>
  </si>
  <si>
    <t xml:space="preserve">COMRPA DE MEDICAMENTOS </t>
  </si>
  <si>
    <t>FARACH, S.A</t>
  </si>
  <si>
    <t>B1500004185</t>
  </si>
  <si>
    <t>B1500004218</t>
  </si>
  <si>
    <t>B1500004292</t>
  </si>
  <si>
    <t>B1500004327</t>
  </si>
  <si>
    <t>FARNASA, SRL</t>
  </si>
  <si>
    <t>B1500000703</t>
  </si>
  <si>
    <t>COMPRA DE MAT.ELECTRICO</t>
  </si>
  <si>
    <t>B1500000704</t>
  </si>
  <si>
    <t>MANTENIMIENTO Y LIMPIEZA D TUBERIA</t>
  </si>
  <si>
    <t>B1500004607</t>
  </si>
  <si>
    <t>FESA, SRL</t>
  </si>
  <si>
    <t xml:space="preserve">COPMPRA DE FUNDAS </t>
  </si>
  <si>
    <t>B1500000400</t>
  </si>
  <si>
    <t>B1500000016</t>
  </si>
  <si>
    <t>GRUPO SADELCO, SRL</t>
  </si>
  <si>
    <t xml:space="preserve">COMPRA DE FOLDER </t>
  </si>
  <si>
    <t>B1500006501</t>
  </si>
  <si>
    <t>HOSPIFAR, SRL</t>
  </si>
  <si>
    <t>B1500002355</t>
  </si>
  <si>
    <t>B1500000682</t>
  </si>
  <si>
    <t>INFALAB, SRL</t>
  </si>
  <si>
    <t>B1500000604</t>
  </si>
  <si>
    <t>B1500000607</t>
  </si>
  <si>
    <t>B1500000063</t>
  </si>
  <si>
    <t>B1500000645</t>
  </si>
  <si>
    <t>B1500000963</t>
  </si>
  <si>
    <t>INVERSIONES BAUTISTA BERAS, SRL</t>
  </si>
  <si>
    <t xml:space="preserve">COMPRA DE COMPRESOR </t>
  </si>
  <si>
    <t>B1500000304</t>
  </si>
  <si>
    <t>INGETECSO, SRL</t>
  </si>
  <si>
    <t>B1500000124</t>
  </si>
  <si>
    <t>ISCRI GROUP, SRL</t>
  </si>
  <si>
    <t>B1500001669</t>
  </si>
  <si>
    <t>B1500001668</t>
  </si>
  <si>
    <t>B1500001695</t>
  </si>
  <si>
    <t>B1500001723</t>
  </si>
  <si>
    <t>B1500001737</t>
  </si>
  <si>
    <t>B1500001724</t>
  </si>
  <si>
    <t>B1500001758</t>
  </si>
  <si>
    <t>B1500001783</t>
  </si>
  <si>
    <t>B1500001795</t>
  </si>
  <si>
    <t>B1500006458</t>
  </si>
  <si>
    <t>B1500006478</t>
  </si>
  <si>
    <t>MAREL MEDICAL, SRL</t>
  </si>
  <si>
    <t>B1500000112</t>
  </si>
  <si>
    <t>COMPRA DE AMBIENTADORES</t>
  </si>
  <si>
    <t>B1500000425</t>
  </si>
  <si>
    <t>B1500000338</t>
  </si>
  <si>
    <t>B1500000260</t>
  </si>
  <si>
    <t>OSCAR A.RENTA NEGRON, S.A</t>
  </si>
  <si>
    <t>B1500007128</t>
  </si>
  <si>
    <t>B1500007130</t>
  </si>
  <si>
    <t>B1500007129</t>
  </si>
  <si>
    <t>B1500007287</t>
  </si>
  <si>
    <t>B1500007334</t>
  </si>
  <si>
    <t>B1500007433</t>
  </si>
  <si>
    <t>B1500007434</t>
  </si>
  <si>
    <t>B1500007435</t>
  </si>
  <si>
    <t>PABLO YARODI DE JESUS NIVAR</t>
  </si>
  <si>
    <t>B1500071478</t>
  </si>
  <si>
    <t>B1500071567</t>
  </si>
  <si>
    <t>B1500000009</t>
  </si>
  <si>
    <t>PINTAMAX, S.A</t>
  </si>
  <si>
    <t>MATERIAL PARA MANTENIMIENTO</t>
  </si>
  <si>
    <t>B1500001491</t>
  </si>
  <si>
    <t>B1500001499</t>
  </si>
  <si>
    <t xml:space="preserve">PROMEDICA </t>
  </si>
  <si>
    <t>B1500001351</t>
  </si>
  <si>
    <t>PROVESOL</t>
  </si>
  <si>
    <t>MATERIAL DE MANTENIMIENTO</t>
  </si>
  <si>
    <t>Q&amp;Q MEDICAL</t>
  </si>
  <si>
    <t>B1500001742</t>
  </si>
  <si>
    <t>B1500001752</t>
  </si>
  <si>
    <t>B1500001759</t>
  </si>
  <si>
    <t>B1500001760</t>
  </si>
  <si>
    <t>B1500001767</t>
  </si>
  <si>
    <t>B1500001773</t>
  </si>
  <si>
    <t>B1500001772</t>
  </si>
  <si>
    <t>B1500001779</t>
  </si>
  <si>
    <t>COMRPA DE BATAS DESECHABLES</t>
  </si>
  <si>
    <t>B1500001780</t>
  </si>
  <si>
    <t>B1500002034</t>
  </si>
  <si>
    <t>COMPRA DE IMPRESORA Y OTROS EQUIPOS</t>
  </si>
  <si>
    <t>B1500000089</t>
  </si>
  <si>
    <t>ROSLYN, SRL</t>
  </si>
  <si>
    <t>SANCHEZ &amp; PASTRANO SUPLIDORES, SRL</t>
  </si>
  <si>
    <t>MATERIAL DESECHABLE</t>
  </si>
  <si>
    <t>B1500000015</t>
  </si>
  <si>
    <t>B1500000118</t>
  </si>
  <si>
    <t>SEAN DOMINICAN , SRL</t>
  </si>
  <si>
    <t>B1500003893</t>
  </si>
  <si>
    <t>B1500002182</t>
  </si>
  <si>
    <t>SEMINSA, S.A</t>
  </si>
  <si>
    <t>B1500002212</t>
  </si>
  <si>
    <t>B1500002188</t>
  </si>
  <si>
    <t>SEMINSA</t>
  </si>
  <si>
    <t>HORAS EN MANTENIMIENTO</t>
  </si>
  <si>
    <t>B1500002864</t>
  </si>
  <si>
    <t>SERVICIOS E INSTALACIONES TECNICAS (SETEC)</t>
  </si>
  <si>
    <t>MANTENIMIENTO DE ELEVADORES</t>
  </si>
  <si>
    <t>B1500002900</t>
  </si>
  <si>
    <t>COMPRA DE PILA ALCALINA</t>
  </si>
  <si>
    <t>B1500000335</t>
  </si>
  <si>
    <t>B1500000337</t>
  </si>
  <si>
    <t xml:space="preserve">COMPRA DE MAT. DE LIMPIEZAS </t>
  </si>
  <si>
    <t>B1500000336</t>
  </si>
  <si>
    <t>COMPRA DE MATERIALES GASTABLE</t>
  </si>
  <si>
    <t>B1500000341</t>
  </si>
  <si>
    <t>B1500000343</t>
  </si>
  <si>
    <t>B1500000345</t>
  </si>
  <si>
    <t>MANTENIMIENTO DE SOFTWARE</t>
  </si>
  <si>
    <t>B1500000346</t>
  </si>
  <si>
    <t>COMPRA DE PINTURA</t>
  </si>
  <si>
    <t>B1500000143</t>
  </si>
  <si>
    <t>COMPRA DE TENOMETRO PORTATIL</t>
  </si>
  <si>
    <t>B1500018581</t>
  </si>
  <si>
    <t>B1500018777</t>
  </si>
  <si>
    <t>B1500019008</t>
  </si>
  <si>
    <t>B1500000394</t>
  </si>
  <si>
    <t>B1500000395</t>
  </si>
  <si>
    <t>TECNI AGUA, SRL</t>
  </si>
  <si>
    <t xml:space="preserve">SERV.TECNICO PREVENTIVO </t>
  </si>
  <si>
    <t>TECNOTEC ELECTROMECANICA</t>
  </si>
  <si>
    <t>B1500000444</t>
  </si>
  <si>
    <t>TRANSOLUCION JR, SRL</t>
  </si>
  <si>
    <t>B1500002411</t>
  </si>
  <si>
    <t>B1500002591</t>
  </si>
  <si>
    <t>B1500002620</t>
  </si>
  <si>
    <t>B1500002640</t>
  </si>
  <si>
    <t>B1500002643</t>
  </si>
  <si>
    <t>B1500002646</t>
  </si>
  <si>
    <t>B1500002667</t>
  </si>
  <si>
    <t>B1500002684</t>
  </si>
  <si>
    <t>B1500002688</t>
  </si>
  <si>
    <t>B1500002695</t>
  </si>
  <si>
    <t>VERMEIL, SRL</t>
  </si>
  <si>
    <t>B1500000031</t>
  </si>
  <si>
    <t>COMPRA DE BATAS DESECHABLES</t>
  </si>
  <si>
    <t>Dr. Cleto Rafael Ramirez Penso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</si>
  <si>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</si>
  <si>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</si>
  <si>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</si>
  <si>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</si>
  <si>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 xml:space="preserve">                     Doctor Cleto Rafael Ramirez Penso</t>
  </si>
  <si>
    <t xml:space="preserve">        Lic. Teodora Raquel Cordero Nuñez</t>
  </si>
  <si>
    <t xml:space="preserve">            Licda. Teodora Raquel Cordero Nuñez</t>
  </si>
  <si>
    <t xml:space="preserve">               Gerente Administrativa y Financiera</t>
  </si>
  <si>
    <t>Doctor Cleto Rafael Ramírez Penso</t>
  </si>
  <si>
    <t xml:space="preserve">                Director General</t>
  </si>
  <si>
    <t xml:space="preserve">                                                                                     Doctor Cleto Rafael Ramirez Penso</t>
  </si>
  <si>
    <t xml:space="preserve">                                                                                                    Director General</t>
  </si>
  <si>
    <t xml:space="preserve">                                                                                                                    Director General</t>
  </si>
  <si>
    <t>las compras realizadas sin planificación; esto se esta corrigiendo en la actualidad.</t>
  </si>
  <si>
    <t>Saldo al 30 de Diciembre  2023</t>
  </si>
  <si>
    <t>Propiedad, Planta y Equipo Neto Diciembre 2023</t>
  </si>
  <si>
    <t xml:space="preserve"> Servicio Regional de Salud Metropolitano</t>
  </si>
  <si>
    <t>AB &amp; CO ARIZA BATLLE, SRL</t>
  </si>
  <si>
    <t>B1500000101</t>
  </si>
  <si>
    <t>ACROMAX DOMINICANA</t>
  </si>
  <si>
    <t>B1500165838</t>
  </si>
  <si>
    <t>B1500166565</t>
  </si>
  <si>
    <t>B1500166667</t>
  </si>
  <si>
    <t>B1500165839</t>
  </si>
  <si>
    <t>B1500166778</t>
  </si>
  <si>
    <t>B1500167161</t>
  </si>
  <si>
    <t>B1500167288</t>
  </si>
  <si>
    <t xml:space="preserve">ARGOS TECNOQUIMICOS </t>
  </si>
  <si>
    <t xml:space="preserve">COMPRA DE MATERIALES DE LIMPIEZAS </t>
  </si>
  <si>
    <t xml:space="preserve">BIO NUCLEAR </t>
  </si>
  <si>
    <t>B1500037200</t>
  </si>
  <si>
    <t>B1500037631</t>
  </si>
  <si>
    <t>B1500037642</t>
  </si>
  <si>
    <t>B1500000197</t>
  </si>
  <si>
    <t>B1500002653</t>
  </si>
  <si>
    <t>CENTROXPERT STE, SRL</t>
  </si>
  <si>
    <t>B1500000230</t>
  </si>
  <si>
    <t>CLICKTECK</t>
  </si>
  <si>
    <t>B1500004116</t>
  </si>
  <si>
    <t>COMPU OFFICE DOMINICANA, SRL</t>
  </si>
  <si>
    <t>B1500004126</t>
  </si>
  <si>
    <t>COMPRA DE IMPRESORA HP LASERJET</t>
  </si>
  <si>
    <t>B1500000130</t>
  </si>
  <si>
    <t>RENOVACION SERV.SOLUCION DE SEG.INF.</t>
  </si>
  <si>
    <t>B1500000461</t>
  </si>
  <si>
    <t>B1500000464</t>
  </si>
  <si>
    <t>B1500000463</t>
  </si>
  <si>
    <t>B1500000462</t>
  </si>
  <si>
    <t>B1500000467</t>
  </si>
  <si>
    <t>B1500000466</t>
  </si>
  <si>
    <t>B1500000465</t>
  </si>
  <si>
    <t>B1500000468</t>
  </si>
  <si>
    <t>B1500000469</t>
  </si>
  <si>
    <t>B1500001191</t>
  </si>
  <si>
    <t>B1500000074</t>
  </si>
  <si>
    <t>DEJESSA,SRL</t>
  </si>
  <si>
    <t>SERV.REPARACION PAREDES EN SHEETROCK</t>
  </si>
  <si>
    <t>B1500000080</t>
  </si>
  <si>
    <t xml:space="preserve">SERVICIOS ADECUACIONES VARIAS </t>
  </si>
  <si>
    <t>DOCTORES MALLEN GUERRA, S.A  FACT.50%</t>
  </si>
  <si>
    <t>B1500004412</t>
  </si>
  <si>
    <t>B1500004442</t>
  </si>
  <si>
    <t>B1500054057</t>
  </si>
  <si>
    <t>B1500054258</t>
  </si>
  <si>
    <t>B1500054257</t>
  </si>
  <si>
    <t>B1500054460</t>
  </si>
  <si>
    <t>B1500054462</t>
  </si>
  <si>
    <t>B1500054487</t>
  </si>
  <si>
    <t>B1500054512</t>
  </si>
  <si>
    <t>B1500054556</t>
  </si>
  <si>
    <t xml:space="preserve">COMPRA D MATERIALES MEDICO </t>
  </si>
  <si>
    <t>B1500004849</t>
  </si>
  <si>
    <t>B1500013046</t>
  </si>
  <si>
    <t>INFALAB, SRL  AVANCE 50% FACT.</t>
  </si>
  <si>
    <t>B1500000651</t>
  </si>
  <si>
    <t>INGSERSSA,SRL</t>
  </si>
  <si>
    <t>SERV. Y MANT. LEICA SURGICAL FOOTSWITCH</t>
  </si>
  <si>
    <t>B1500000156</t>
  </si>
  <si>
    <t>INSUMOS MEDICOS DEL CARIBE INSUMED, SRL</t>
  </si>
  <si>
    <t xml:space="preserve">COMPRA DE PAÑALES DESECHABLES </t>
  </si>
  <si>
    <t>B1500000980</t>
  </si>
  <si>
    <t>COLOCACION DE ASEPTICO</t>
  </si>
  <si>
    <t>B1500001857</t>
  </si>
  <si>
    <t>B1500001860</t>
  </si>
  <si>
    <t>B1500001887</t>
  </si>
  <si>
    <t>B1500001888</t>
  </si>
  <si>
    <t>B1500001892</t>
  </si>
  <si>
    <t>B1500001910</t>
  </si>
  <si>
    <t>B1500000483</t>
  </si>
  <si>
    <t>JOCACE</t>
  </si>
  <si>
    <t>B1500001906</t>
  </si>
  <si>
    <t xml:space="preserve">LAMBDA DIAGNOSTICOS </t>
  </si>
  <si>
    <t>SERVICIOS DE  MANTENIMIENTO LP</t>
  </si>
  <si>
    <t>LINAMED, SRL</t>
  </si>
  <si>
    <t>B1500000040</t>
  </si>
  <si>
    <t>B1500000042</t>
  </si>
  <si>
    <t xml:space="preserve">COMPRA DE MAT. Y UTILES DE OFICNA </t>
  </si>
  <si>
    <t>B1500000427</t>
  </si>
  <si>
    <t>MDL ALTEKNATIVA TECH, SRL</t>
  </si>
  <si>
    <t>COMPRA DE MATERIALES ELECTRICO</t>
  </si>
  <si>
    <t>B1500000344</t>
  </si>
  <si>
    <t>B1500000347</t>
  </si>
  <si>
    <t>B1500007482</t>
  </si>
  <si>
    <t>B1500007480</t>
  </si>
  <si>
    <t>B1500007481</t>
  </si>
  <si>
    <t>B1500007483</t>
  </si>
  <si>
    <t>B1500007484</t>
  </si>
  <si>
    <t>B1500000207</t>
  </si>
  <si>
    <t>OXIMAX,S.A</t>
  </si>
  <si>
    <t xml:space="preserve">COMPRA DE OXIGENO </t>
  </si>
  <si>
    <t>B1500000208</t>
  </si>
  <si>
    <t>B1500000210</t>
  </si>
  <si>
    <t>B1500000029</t>
  </si>
  <si>
    <t>SERV.REPARACION MESA EN ACERO</t>
  </si>
  <si>
    <t>B1500001013</t>
  </si>
  <si>
    <t>B1500001015</t>
  </si>
  <si>
    <t>B1500001506</t>
  </si>
  <si>
    <t>B1500001518</t>
  </si>
  <si>
    <t>SERV.MANT.DE TORRE DE ENDOSCOPIA</t>
  </si>
  <si>
    <t>PUBLI MASTER E.I.R.L</t>
  </si>
  <si>
    <t>COMPRA DE BUZONES DE QUEJAS</t>
  </si>
  <si>
    <t>B1500001801</t>
  </si>
  <si>
    <t>B1500000097</t>
  </si>
  <si>
    <t>B1500000019</t>
  </si>
  <si>
    <t>B1500000021</t>
  </si>
  <si>
    <t>B1500004007</t>
  </si>
  <si>
    <t>B1500004006</t>
  </si>
  <si>
    <t>B1500004034</t>
  </si>
  <si>
    <t>B1500002231</t>
  </si>
  <si>
    <t>SEMINSA,S.A</t>
  </si>
  <si>
    <t>COMPRA DE MONITOR LCD</t>
  </si>
  <si>
    <t>B1500000103</t>
  </si>
  <si>
    <t>SERPRONAL</t>
  </si>
  <si>
    <t>B1500000364</t>
  </si>
  <si>
    <t>SIVINOX AVANCE 50% FACT.143.</t>
  </si>
  <si>
    <t>B1500000060</t>
  </si>
  <si>
    <t>B1500019226</t>
  </si>
  <si>
    <t>B1500019235</t>
  </si>
  <si>
    <t>B1500019227</t>
  </si>
  <si>
    <t>B1500000404</t>
  </si>
  <si>
    <t>B1500000418</t>
  </si>
  <si>
    <t>B1500000419</t>
  </si>
  <si>
    <t>B1500000885</t>
  </si>
  <si>
    <t>B1500000887</t>
  </si>
  <si>
    <t>B1500000189</t>
  </si>
  <si>
    <t>B1500000185</t>
  </si>
  <si>
    <t>B1500002701</t>
  </si>
  <si>
    <t>B1500002700</t>
  </si>
  <si>
    <t xml:space="preserve">ULTRALAB, </t>
  </si>
  <si>
    <t>B1500002712</t>
  </si>
  <si>
    <t>B1500002722</t>
  </si>
  <si>
    <t>B1500002729</t>
  </si>
  <si>
    <t>B1500002733</t>
  </si>
  <si>
    <t>B1500003758</t>
  </si>
  <si>
    <t>VENDIFAR, SRL</t>
  </si>
  <si>
    <t xml:space="preserve">COMPRA DE ELECTRODO DESECHABLE </t>
  </si>
  <si>
    <t>B1500000033</t>
  </si>
  <si>
    <t>TOTAL CUENTAS POR PAGAR DICIEMBRE 2023                             RD$</t>
  </si>
  <si>
    <t>Preparado por:   Hermis W. Abreu M.</t>
  </si>
  <si>
    <t>Encargado Contabilidad</t>
  </si>
  <si>
    <t>RELACIÓN DE INVENTARIO DE ALMACÉN DE MEDICAMENTO</t>
  </si>
  <si>
    <t>ENTRADA</t>
  </si>
  <si>
    <t>SALIDA</t>
  </si>
  <si>
    <t>AGENTE HEMOSTATICO FIBRILLAR ( SURGICEL )</t>
  </si>
  <si>
    <t>BUDESONIDA 0.5MG/2ML..</t>
  </si>
  <si>
    <t>CELEMIN NEPHRO</t>
  </si>
  <si>
    <t>COMPLEJO B /FRASCO-AMPOLLA</t>
  </si>
  <si>
    <t>DEXKETOPROFENO 50MG/2 ML. AMPOLLA.</t>
  </si>
  <si>
    <t>INVANZ IGR / ERTAPENEM</t>
  </si>
  <si>
    <t>GLUTAPACK -R SOBRE</t>
  </si>
  <si>
    <t>HILO VICRYL 6-0 REF. J570G</t>
  </si>
  <si>
    <t xml:space="preserve">LEVETIRACETAM  500MG </t>
  </si>
  <si>
    <t>LINEZOLID 600 MG/ 300 ML</t>
  </si>
  <si>
    <t>METILPREDNISOLONA 500MG I.V.- SOLU-MEDROL</t>
  </si>
  <si>
    <t>DREN PENROSE "1"</t>
  </si>
  <si>
    <t>DREN PENROSE "1/2"</t>
  </si>
  <si>
    <t>DREN PENROSE "3/8"</t>
  </si>
  <si>
    <t>DREN PENROSE "1/4"</t>
  </si>
  <si>
    <t xml:space="preserve">DUODERM- PARCHO 8 X 12      </t>
  </si>
  <si>
    <t xml:space="preserve">RESUCITADOR ADULTO </t>
  </si>
  <si>
    <t>COLISTINA 100MG I.V.</t>
  </si>
  <si>
    <t>DEXMEDETOMIDINA 200MCG/ML AMP</t>
  </si>
  <si>
    <t>PREDNISONA 50MG TAB.</t>
  </si>
  <si>
    <t>ACETAZOLAMIDA 250MG TAB.*OCULTEN</t>
  </si>
  <si>
    <t>ACIDO TRANEXAMICO 500MG/5ML. AMPOLLA (PAUSET)</t>
  </si>
  <si>
    <t>AGUJA HIPODERMICA # 30G</t>
  </si>
  <si>
    <t>HEMOVACK # 14</t>
  </si>
  <si>
    <t>HILO VICRYL 1-0, REF. VCP341H</t>
  </si>
  <si>
    <t xml:space="preserve">LLAVE DE TRES VIAS </t>
  </si>
  <si>
    <t>NOOTROPIL 1GR* PIRACETAM -AMPOLLA</t>
  </si>
  <si>
    <t>SISTEMA DE SELLADOR CRANEAL (DURASEAL)</t>
  </si>
  <si>
    <t>SOL SALINA MINI BAG PLS 9 % 100 ML</t>
  </si>
  <si>
    <t xml:space="preserve">SOL. SALINA 0.9% - 250 ML </t>
  </si>
  <si>
    <t>SURGIFLO REF MS0010 X UDS</t>
  </si>
  <si>
    <t xml:space="preserve">                           Revisado por: Lic. Jose Francisco Villabrille</t>
  </si>
  <si>
    <t>Preparado por: Licdo. Ignacio Cerda</t>
  </si>
  <si>
    <t xml:space="preserve">                         Encargado de Contabilidad</t>
  </si>
  <si>
    <t xml:space="preserve">ENTRADA </t>
  </si>
  <si>
    <t>27/12/2023</t>
  </si>
  <si>
    <t>FUNDA CON AZA #51</t>
  </si>
  <si>
    <t>15/12/2023</t>
  </si>
  <si>
    <t>LAPIZ DE CARBON</t>
  </si>
  <si>
    <t>18/12/2023</t>
  </si>
  <si>
    <t xml:space="preserve">         Maquinarias y Equipos </t>
  </si>
  <si>
    <t>Propiedad, Planta y Equipo Neto Diciembre 2022</t>
  </si>
  <si>
    <t>MESES</t>
  </si>
  <si>
    <t>INGRESOS</t>
  </si>
  <si>
    <t xml:space="preserve">EGRESOS </t>
  </si>
  <si>
    <t>TOTAL       RD$</t>
  </si>
  <si>
    <t xml:space="preserve">NOVIEMBRE  </t>
  </si>
  <si>
    <t>**</t>
  </si>
  <si>
    <t xml:space="preserve">                               RELACION DE INGRESOS POR VENTA DE SERVICIOS Y  EGRESOS TRIMESTRE OCTUBRE - DICIEMBRE 2023</t>
  </si>
  <si>
    <t xml:space="preserve">                                       *    Pagos Incentivos Administrativo Enero- Junio 2023  RD$ 32,102,065.00</t>
  </si>
  <si>
    <t xml:space="preserve">                                       **  Pagos Incentivvos Medico Meses Julio - Agosto 2023  RD$ 23,093,958.93</t>
  </si>
  <si>
    <t>El monto de RD$ 57,201,738.63)  fue cubierto mediante la disponibilidad de efectivo a la fecha.</t>
  </si>
  <si>
    <t>RELACION CUENTAS POR PAGAR TRIMESTRE OCTUBRE - DICIEMBRE 2023</t>
  </si>
  <si>
    <t xml:space="preserve">                                                    (VALORES EN RD$)</t>
  </si>
  <si>
    <t>al compararse ambos montos.</t>
  </si>
  <si>
    <t>2024</t>
  </si>
  <si>
    <t>Del Ejercicio Terminado  al 31 de Enero del 2024 Y 2023</t>
  </si>
  <si>
    <t xml:space="preserve">Del Ejercicio Terminado al Enero al 31 de Enero del 2024 </t>
  </si>
  <si>
    <t>Del Ejercicio Terminado al 31 de Enero del  2024 y 2023</t>
  </si>
  <si>
    <t>(Valores en RD$)</t>
  </si>
  <si>
    <t xml:space="preserve">El detalle del efectivo y equivalentes de efectivo al 31 de Enero del 2024 y 2023, es como sigue:       </t>
  </si>
  <si>
    <t>comparado con el balance al 31 de Enero del 2024.</t>
  </si>
  <si>
    <t xml:space="preserve">Enero </t>
  </si>
  <si>
    <t>Febrero</t>
  </si>
  <si>
    <t>Marzo</t>
  </si>
  <si>
    <t>Abril</t>
  </si>
  <si>
    <t xml:space="preserve">Mayo </t>
  </si>
  <si>
    <t xml:space="preserve">Junio </t>
  </si>
  <si>
    <t>Jullio</t>
  </si>
  <si>
    <t>Agossto</t>
  </si>
  <si>
    <t>Septiembre</t>
  </si>
  <si>
    <t>Octubre</t>
  </si>
  <si>
    <t>Noviembre</t>
  </si>
  <si>
    <t>Diciembre</t>
  </si>
  <si>
    <t>Total  Cargos Bancarios RD$</t>
  </si>
  <si>
    <t>Detalle</t>
  </si>
  <si>
    <t>Total Consolidado Cargos Bancarios 2024 en RD$</t>
  </si>
  <si>
    <t>Cargos Bancarios Manejo de Cuenta  Cuenta 0150013124024 Banreservas</t>
  </si>
  <si>
    <t>Cargos Bancarios Imp.0.15% 0150013124024 Banreservas</t>
  </si>
  <si>
    <t>Cargos Bancarios Manejo de Cuenta 0150013116 Banreservas</t>
  </si>
  <si>
    <t>Cargos Bancarios Imp.0.15% 0150013116 Banreservas</t>
  </si>
  <si>
    <t xml:space="preserve">                                   COMISIONES Y GASTOS BANCARIOS ENERO DICIEMBRE 2024</t>
  </si>
  <si>
    <t xml:space="preserve">                                                                                                                                        (Valores en RD$)</t>
  </si>
  <si>
    <t>Utiles Menores Medico-Quirurgicos</t>
  </si>
  <si>
    <t>Proveedor de Medicamentos y Materiales Medicos</t>
  </si>
  <si>
    <t>Mterial Gastable</t>
  </si>
  <si>
    <t>B1500167357</t>
  </si>
  <si>
    <t>B1500171040</t>
  </si>
  <si>
    <t>B1500165840</t>
  </si>
  <si>
    <t>B1500171054</t>
  </si>
  <si>
    <t>B1500171690</t>
  </si>
  <si>
    <t>B1500037786</t>
  </si>
  <si>
    <t>COMPRA DE MATERIALES LIMPIEZAS</t>
  </si>
  <si>
    <t>B1500037900</t>
  </si>
  <si>
    <t>B1500038077</t>
  </si>
  <si>
    <t>COMPRA DE GUANTES DIELECTRICOS</t>
  </si>
  <si>
    <t>CORASVASCULAR, SRL</t>
  </si>
  <si>
    <t>B1500000496</t>
  </si>
  <si>
    <t>B1500000495</t>
  </si>
  <si>
    <t>B1500001278</t>
  </si>
  <si>
    <t>EMPRESAS CABOD EIRL</t>
  </si>
  <si>
    <t>B1500004491</t>
  </si>
  <si>
    <t>B1500004493</t>
  </si>
  <si>
    <t>B1500054636</t>
  </si>
  <si>
    <t>B1500054853</t>
  </si>
  <si>
    <t>B1500054852</t>
  </si>
  <si>
    <t>B1500004934</t>
  </si>
  <si>
    <t>B1500000655</t>
  </si>
  <si>
    <t>INFALAB ,SRL</t>
  </si>
  <si>
    <t>INMEIND.SRL</t>
  </si>
  <si>
    <t>COMPRA DE BISAGRAS</t>
  </si>
  <si>
    <t>JORSA MULTISERVICES</t>
  </si>
  <si>
    <t xml:space="preserve">PAGO IMPRESIÓN </t>
  </si>
  <si>
    <t>B1500001933</t>
  </si>
  <si>
    <t>B1500000161</t>
  </si>
  <si>
    <t>B1500000330</t>
  </si>
  <si>
    <t>B1500000339</t>
  </si>
  <si>
    <t xml:space="preserve">COMPRA DE ROLLO PAPEL </t>
  </si>
  <si>
    <t>P&amp;C DYNAMICS SOLUTIONS, SRL</t>
  </si>
  <si>
    <t>COMPRA DE SABANITAS DESECHABLES</t>
  </si>
  <si>
    <t>B1500000005</t>
  </si>
  <si>
    <t>ROTNIT,SRL</t>
  </si>
  <si>
    <t>COMPRA DE RESMA DE PAPEL</t>
  </si>
  <si>
    <t>B1500000022</t>
  </si>
  <si>
    <t xml:space="preserve">COMPRA DE TANQUE DE PRESION </t>
  </si>
  <si>
    <t>B1500000121</t>
  </si>
  <si>
    <t>B1500002269</t>
  </si>
  <si>
    <t>B1500000354</t>
  </si>
  <si>
    <t>B1500000355</t>
  </si>
  <si>
    <t xml:space="preserve">COPMPRA DE UTILERIA DE OFICINA </t>
  </si>
  <si>
    <t>STA SOLUCIONES TECNICAS AVANZADAS STA,SRL</t>
  </si>
  <si>
    <t>B1500000067</t>
  </si>
  <si>
    <t>B1500000095</t>
  </si>
  <si>
    <t>MANT.PREVENTIVO Y CORRECTIVO MOTORES</t>
  </si>
  <si>
    <t>REPARACION DE MODULO</t>
  </si>
  <si>
    <t>B1500002776</t>
  </si>
  <si>
    <t>B1500002784</t>
  </si>
  <si>
    <t>B1500003860</t>
  </si>
  <si>
    <t>Servicio Nacional de Salud  (SNS)</t>
  </si>
  <si>
    <t xml:space="preserve">                                                                          Relacion de Cuentas por Pagar al  31 de Enero 2024</t>
  </si>
  <si>
    <t xml:space="preserve">                                                                                                   (Valores en RD$)</t>
  </si>
  <si>
    <t>CORRESPONDIENTE AL MES DE ENERO 2024</t>
  </si>
  <si>
    <t>ADAPTADOR DE CIR. HUDSON ( PIEZA EN T )</t>
  </si>
  <si>
    <t>ACIDO ASCORBICO 500MG/5ML. AMPOLLA</t>
  </si>
  <si>
    <t xml:space="preserve">AGUJA P/FACO ANGULADA 2.2 REF.DP-8930AS             </t>
  </si>
  <si>
    <t>ELEMENTO TRAZA 10 ML</t>
  </si>
  <si>
    <t>EPINEFRINA (ADRENALINA) 1 MG./ML. AMPOLLA</t>
  </si>
  <si>
    <t>FENITOINA SODICA 250MG AMP</t>
  </si>
  <si>
    <t>FUROSEMIDA 20MG AMP.( LASIX )</t>
  </si>
  <si>
    <t>GUANTES EST. # 7.5 S/POLVO</t>
  </si>
  <si>
    <t>KIT DE SONDA P/UROLOGIA 100% SILIC. #14</t>
  </si>
  <si>
    <t>METOCLOPRAMIDA 10 MG./2 ML. AMPOLLA</t>
  </si>
  <si>
    <t>SULFATO DE MAGNESIO 20%  10 ML AMP.</t>
  </si>
  <si>
    <t>SOL. LACTATO EN RINGER 1000ML, *HARLAC</t>
  </si>
  <si>
    <t>SOL. SALINA INTRAOCULAR BSS - 500ML</t>
  </si>
  <si>
    <t>CLONIDINA 0.100MG TAB / V.O.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</si>
  <si>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</si>
  <si>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</si>
  <si>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</si>
  <si>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</si>
  <si>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NIFEDIPINA 60 MG TAB.</t>
  </si>
  <si>
    <t>RINOFAR ADULTO FRASCO (OXIMETAZOLAMIDA)</t>
  </si>
  <si>
    <t>WARFARINA 5 MG TABLETA</t>
  </si>
  <si>
    <t>Saldo al 31 de diciembre 2022</t>
  </si>
  <si>
    <t>Costo de Adquisición 2022</t>
  </si>
  <si>
    <t>Saldo al final Periodo 2023</t>
  </si>
  <si>
    <t xml:space="preserve">Otros Cobros </t>
  </si>
  <si>
    <t>Tranferencias Corrinte</t>
  </si>
  <si>
    <t>Aportes SNS Nomina</t>
  </si>
  <si>
    <t>Ventas por Servicios</t>
  </si>
  <si>
    <t>La Institucion tiene en el efectivo al 31 de Enero 2024, el valor de RD$ 133,849,416.76 y para el 2032 su monto es RD$ 85,587,768.35</t>
  </si>
  <si>
    <t>VARIACION</t>
  </si>
  <si>
    <t xml:space="preserve">esta comparación refleja un incremento  de RD$  48,261,6548.41.  </t>
  </si>
  <si>
    <t>Detalle de las Cuentas por Cobrar a Corto Plazo al 31 de Enero  del   2024 y 2023:</t>
  </si>
  <si>
    <t>Resultado del Periodo Enero 2024</t>
  </si>
  <si>
    <t xml:space="preserve">Las cuentas por Cobrar presentan una disminución al 31 de Enero del 2024 con relación al 31 de Diciembre del 2023, por el monto de </t>
  </si>
  <si>
    <t xml:space="preserve"> RD$ 20,629,887.69 debido a que hubo  aumento en los cobros por ventas de servicios.</t>
  </si>
  <si>
    <t>RD$ 188,827,935,69 al ser comparado estos valores, revelan una disminución de (RD$ 26,012,505.43)  para el 2024.</t>
  </si>
  <si>
    <t>Las Cuentas por Cobrar ARS, para el 31 de Enero del 2024 presentan un balance  de RD$ 162,815,430.26 y en el 2023 su monto es</t>
  </si>
  <si>
    <t>En este renglon de  las Cuentas por Cobrar, podemos ver al 31 de Enero del 2024 el balance de RD$ 675,366.02   y en Enero 2023 su</t>
  </si>
  <si>
    <t>balance es RD$ 1,462,204.29 esto refleja una disminución  de (RD$ 786,838.27)  paa l 2023.</t>
  </si>
  <si>
    <t>Las Cuentas por Cobrar Pacientes para el 31 de Enero del 2024, presentan un incremento por el monto de RD$ 6,169,4456.01</t>
  </si>
  <si>
    <t>Al 31 de Enero del 2024 y  31 de Enero del 2023, los inventarios tienen montos de  RD$ 86,566,347.16 en el 2024 y en el 2023 es de</t>
  </si>
  <si>
    <t>La Cuenta de Gastos Pagados por Anticipados tiene al 31 de Eenro del 2024 el monto de RD$ 4,954,506.59 y para Enero  2023 su monto</t>
  </si>
  <si>
    <t>es de RD$ 12,655,342.16, al ser comparados se muestra una disminución de (RD$ 7,700,835.57) para el 2024.</t>
  </si>
  <si>
    <t>un incremento por el monto de RD$  20,807,273.21</t>
  </si>
  <si>
    <t>es de RD$ 112,013,111.07 respectivamente, en este periodo hay una disminución  para el 2024 por el monto de (RD$ 25,446,763.91)</t>
  </si>
  <si>
    <t>Para el 31 de Enero del 2024 los activos fijos presentan un balance de RD$ 203,427,415.47 y para el 2023 tiene RD$ 182,620,142.26 lo cual muestra</t>
  </si>
  <si>
    <t>Al  Cierre del 31 de Enero  2024 las Cuentas por Pagar Cerraron con un Monto de RD$ 270,165,619.80 para el 2024  y en Enero 2023 su monto es de</t>
  </si>
  <si>
    <t>RD$ 90,068,929.77;  lo que evidencia un incremento  de RD$ 180,096,690.03  para el 2023,  Ese incremento se debe a la falta de una politica de pago y de</t>
  </si>
  <si>
    <t xml:space="preserve">Al 31 de Enero del 2024 y 31 de Enero del 2023, las acumulaciones y retenciones por pagar  presentan balances  para el 2024 </t>
  </si>
  <si>
    <t>por el monto de RD$ 3,450.00 y en el 2023 tienes el monto  RD$ 116,270.88, lo que evidencia una disminución de (RD$ 112,820.88)  para</t>
  </si>
  <si>
    <t>el 2024.</t>
  </si>
  <si>
    <t>lo que evidencia una disminución de (RD$ 164,692,434.70), para el 2023 debido al resultado positivo en el periodo.</t>
  </si>
  <si>
    <t xml:space="preserve">Al 31 de Enero del 2024 el patrimonio tiene un balance de RD$ 331,328,121.16 y a Enero 2023 es de RD$ 496,020,555.86 </t>
  </si>
  <si>
    <t xml:space="preserve">En el mes de Enero 2024 y  del  2023, los ingresos alcanzaron los montos de RD$ 97,321,885.87 y RD$ 65,509,544.16, lo cual refleja un </t>
  </si>
  <si>
    <t xml:space="preserve">un incremento de RD$ 31,812,544.16 sobre el año 2023 a esa fecha. </t>
  </si>
  <si>
    <t xml:space="preserve">Al 31 de Enero del 2024 y al 31 de Enero 2023; las transferencias  corrientes tuvieron los montos de RD$ 21,844,319.15  y </t>
  </si>
  <si>
    <t xml:space="preserve">RD$ 21,844,319.15 respectivamente. Al compararlos no refleja ninguna variación debido a  que se recibio montos iguales.       </t>
  </si>
  <si>
    <t xml:space="preserve">Al 31 de Enero  2024 y  del 2023,los gastos por concepto de Remuneraciones alcanzaron los montos de RD$ 40,338,327.38 en el 2024  </t>
  </si>
  <si>
    <t xml:space="preserve">y  RD$ 29,832,113.07 en el 2023, reflejando un incremento de RD$ 10,506,214.31 para el 2024. </t>
  </si>
  <si>
    <t>Al 31 de Enero del  2024 y al 31 de Enero del 2023, los gastos de Remuneracion al personal contratado presentan balances siguientes</t>
  </si>
  <si>
    <t>RD$ 25,854,313.17 y RD$ 25,373,756.01  respectivamente, reflejando un incremento  por el monto  de RD$ 480,557.16 para el 2023.</t>
  </si>
  <si>
    <t>_</t>
  </si>
  <si>
    <t>Al 31 de Enero del 2024 y Enero 2023 los gastos por Prestaciones Económica no presentan balances.</t>
  </si>
  <si>
    <t>Al 31 de Eneroi del 2024 y Enero del 2023, los gastos por compensación  presentan balances por RD$ 10,634,970.86 para el 2024 y</t>
  </si>
  <si>
    <t xml:space="preserve">RD$ 613,082.10 el 2023 respectivamente; esto refleja un incremento de RD$ 10,021,888.76  con respecto al 2024. </t>
  </si>
  <si>
    <t>Al 31 de Enero del 2024 y al 31 de Enero 2023 los gastos por concepto de contribuciones a la seguridad social,tienen balances</t>
  </si>
  <si>
    <t xml:space="preserve">de RD$ 3,883,874.90 en el 2024  y para el 2023 RD$ 3,845,274.96 respectivamente, mostrando un incremento de RD$ 38,599.94 para </t>
  </si>
  <si>
    <t>año 2024.</t>
  </si>
  <si>
    <t xml:space="preserve">Al 31 de Enero del 2024 y al 31 de Enero  2023, los Gastos por concepto de subvenciones por transferencias incurridas durante </t>
  </si>
  <si>
    <t>este periodo ,presentan balance para el  2023 solamente</t>
  </si>
  <si>
    <t>Durante los periodos del 31 de Enero 2024 y 31 de Enero 2023, los gastos por  materiales y suministros incurridos en esas</t>
  </si>
  <si>
    <t xml:space="preserve">fechas tienen los siguientes balances RD$ 18,317,351.57 y RD$ 20,310,929.19  respectivamente, se muestra una disminución  de (RD$ 1,993,577.62) para  </t>
  </si>
  <si>
    <t>el año 2024. Esta disminución se reflejo en las cuentas de insumos medicos y productos farmaceuticos.</t>
  </si>
  <si>
    <t>Al 31 de Enero del 2024 y  31 de Enero del 2023, los gastos por concepto de depreciación y amortización presentan balances por valor de</t>
  </si>
  <si>
    <t xml:space="preserve">RD$ 2,324,213.45  y RD$ 2,328,122.45, lo que equivale a que no tenga variacion por tener los mismos valores. </t>
  </si>
  <si>
    <t>Al 31 de Enero del 2024 y al 31 de Enero 2023, los gastos por concepto de servicios no personales tienen balances de RD$ 2,805,637,.63</t>
  </si>
  <si>
    <t>y RD$ 8,023,553.16 respectivamente,  mostrando una disminución  de (RD$ 5,217,915.53) para el 2024.</t>
  </si>
  <si>
    <t xml:space="preserve">El detalle del efectivo y equivalentes de efectivo al 31 de Enero del 2024, es como sigue:       </t>
  </si>
  <si>
    <t xml:space="preserve">La Institucion tiene en el efectivo al 31 de Enero 2024, el valor de RD$ 133,849,416.76. </t>
  </si>
  <si>
    <t>Detalle de las Cuentas por Cobrar a Corto Plazo al 31 de Enero  del   2024.</t>
  </si>
  <si>
    <t>Las cuentas por Cobrar presentan Un balance de RD$ 172,699,504.98</t>
  </si>
  <si>
    <t>Las Cuentas por Cobrar ARS, para el 31 de Enero del 2024 presentan un balance  de RD$ 162,815,430.26.</t>
  </si>
  <si>
    <t>En este renglon de  las Cuentas por Cobrar, podemos ver al 31 de Enero del 2024 el balance de RD$ 675,366.02</t>
  </si>
  <si>
    <t>Las Cuentas por Cobrar Pacientes para el 31 de Enero del 2024, presentan el balance de RD$ 9,208,708.70.</t>
  </si>
  <si>
    <t xml:space="preserve">Al 31 de Enero del 2024 los inventarios de medicamentos y material gastable tienen un monto total de </t>
  </si>
  <si>
    <t>RD#$ 86,566,347.16.</t>
  </si>
  <si>
    <t>La Cuenta de Gastos Pagados por Anticipados tiene al 31 de Eenro del 2024 el monto de RD$ 4,954,506.59 .</t>
  </si>
  <si>
    <t>Para el 31 de Enero del 2024 los activos fijos presentan un balance de RD$ 203,427,415.47.</t>
  </si>
  <si>
    <t>Al  Cierre del 31 de Enero  2024 las Cuentas por Pagar Cerraron con un Monto de RD$ 270,165,619.80.</t>
  </si>
  <si>
    <t xml:space="preserve">Al 31 de Enero del 2024 y 31 las acumulaciones y retenciones por pagar  presentan balances  para el 2024 </t>
  </si>
  <si>
    <t>por el monto de RD$ 3,450.00.</t>
  </si>
  <si>
    <t>Al 31 de Enero del 2024 el patrimonio tiene un balance de RD$ 331,328,121.16.</t>
  </si>
  <si>
    <t>Banco de Reservas Cta. 015-001312-4 Fonso Ayudas y Donaciones</t>
  </si>
  <si>
    <t xml:space="preserve">                                    Servicio Regional de Salud Metropolitano</t>
  </si>
  <si>
    <t xml:space="preserve">                                         Ciudad Sanitaria Dr. Luis E. Aybar</t>
  </si>
  <si>
    <t xml:space="preserve">                                         Estado de Situación Financiera</t>
  </si>
  <si>
    <t xml:space="preserve">                         Del Ejercicio Terminado al 31 de Enero del  2024</t>
  </si>
  <si>
    <t xml:space="preserve">                                                  ( VALORES ES RD$)</t>
  </si>
  <si>
    <t xml:space="preserve">                      Director General</t>
  </si>
  <si>
    <t xml:space="preserve">       Encargado de Contabilidad</t>
  </si>
  <si>
    <t xml:space="preserve">                                               Servicio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</si>
</sst>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0.000000%"/>
    <numFmt numFmtId="168" formatCode="_(* #,##0.0000_);_(* \(#,##0.0000\);_(* &quot;-&quot;??_);_(@_)"/>
    <numFmt numFmtId="169" formatCode="0.0000%"/>
    <numFmt numFmtId="170" formatCode="0.0000000%"/>
    <numFmt numFmtId="171" formatCode="dd/mm/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rgb="FF231F20"/>
      <name val="Calibri"/>
      <family val="2"/>
      <scheme val="minor"/>
    </font>
    <font>
      <b/>
      <sz val="12"/>
      <color rgb="FF231F2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4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9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9" applyFont="1" applyAlignment="1">
      <alignment vertical="center"/>
    </xf>
    <xf numFmtId="43" fontId="5" fillId="0" borderId="1" xfId="9" applyFont="1" applyBorder="1" applyAlignment="1">
      <alignment horizontal="center" vertical="center"/>
    </xf>
    <xf numFmtId="43" fontId="5" fillId="0" borderId="0" xfId="9" applyFont="1" applyAlignment="1">
      <alignment vertical="center"/>
    </xf>
    <xf numFmtId="43" fontId="0" fillId="0" borderId="0" xfId="9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14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0" fontId="6" fillId="3" borderId="0" xfId="0" applyFont="1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43" fontId="3" fillId="3" borderId="0" xfId="9" applyFont="1" applyFill="1" applyAlignment="1">
      <alignment horizontal="right" vertical="center"/>
    </xf>
    <xf numFmtId="43" fontId="0" fillId="3" borderId="0" xfId="9" applyFont="1" applyFill="1" applyAlignment="1">
      <alignment vertical="center"/>
    </xf>
    <xf numFmtId="0" fontId="3" fillId="3" borderId="0" xfId="0" applyFont="1" applyFill="1" applyAlignment="1">
      <alignment vertical="center"/>
    </xf>
    <xf numFmtId="43" fontId="3" fillId="3" borderId="2" xfId="9" applyFont="1" applyFill="1" applyBorder="1" applyAlignment="1">
      <alignment horizontal="right" vertical="center"/>
    </xf>
    <xf numFmtId="43" fontId="6" fillId="3" borderId="0" xfId="9" applyFont="1" applyFill="1"/>
    <xf numFmtId="43" fontId="3" fillId="3" borderId="3" xfId="9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43" fontId="3" fillId="3" borderId="5" xfId="9" applyFont="1" applyFill="1" applyBorder="1" applyAlignment="1">
      <alignment horizontal="right" vertical="center"/>
    </xf>
    <xf numFmtId="0" fontId="5" fillId="4" borderId="0" xfId="0" applyFont="1" applyFill="1" applyAlignment="1">
      <alignment vertical="center" wrapText="1"/>
    </xf>
    <xf numFmtId="0" fontId="0" fillId="4" borderId="0" xfId="0" applyFill="1" applyAlignment="1">
      <alignment vertical="center"/>
    </xf>
    <xf numFmtId="43" fontId="0" fillId="4" borderId="0" xfId="9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9" applyFont="1" applyAlignment="1">
      <alignment horizontal="center" vertical="center"/>
    </xf>
    <xf numFmtId="43" fontId="3" fillId="3" borderId="0" xfId="9" applyFont="1" applyFill="1" applyAlignment="1">
      <alignment horizontal="center" vertical="center"/>
    </xf>
    <xf numFmtId="43" fontId="0" fillId="3" borderId="0" xfId="9" applyFont="1" applyFill="1" applyAlignment="1">
      <alignment horizontal="center" vertical="center"/>
    </xf>
    <xf numFmtId="43" fontId="3" fillId="3" borderId="2" xfId="9" applyFont="1" applyFill="1" applyBorder="1" applyAlignment="1">
      <alignment horizontal="center" vertical="center"/>
    </xf>
    <xf numFmtId="43" fontId="6" fillId="3" borderId="0" xfId="9" applyFont="1" applyFill="1" applyAlignment="1">
      <alignment horizontal="center"/>
    </xf>
    <xf numFmtId="43" fontId="3" fillId="3" borderId="3" xfId="9" applyFont="1" applyFill="1" applyBorder="1" applyAlignment="1">
      <alignment horizontal="center" vertical="center"/>
    </xf>
    <xf numFmtId="43" fontId="3" fillId="3" borderId="4" xfId="9" applyFont="1" applyFill="1" applyBorder="1" applyAlignment="1">
      <alignment horizontal="center" vertical="center"/>
    </xf>
    <xf numFmtId="43" fontId="3" fillId="3" borderId="5" xfId="9" applyFont="1" applyFill="1" applyBorder="1" applyAlignment="1">
      <alignment horizontal="center" vertical="center"/>
    </xf>
    <xf numFmtId="43" fontId="0" fillId="0" borderId="0" xfId="9" applyFont="1" applyAlignment="1">
      <alignment horizontal="center" vertical="center" wrapText="1"/>
    </xf>
    <xf numFmtId="43" fontId="5" fillId="3" borderId="0" xfId="9" applyFont="1" applyFill="1" applyAlignment="1">
      <alignment horizontal="center" vertical="center" wrapText="1"/>
    </xf>
    <xf numFmtId="43" fontId="7" fillId="3" borderId="0" xfId="9" applyFont="1" applyFill="1" applyAlignment="1">
      <alignment horizontal="center" vertical="center"/>
    </xf>
    <xf numFmtId="43" fontId="0" fillId="0" borderId="0" xfId="9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5" fillId="0" borderId="1" xfId="9" applyNumberFormat="1" applyFont="1" applyBorder="1" applyAlignment="1">
      <alignment horizontal="right" vertical="center"/>
    </xf>
    <xf numFmtId="49" fontId="0" fillId="0" borderId="0" xfId="9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0" fontId="0" fillId="0" borderId="0" xfId="13" applyNumberFormat="1" applyFont="1" applyAlignment="1">
      <alignment horizontal="center" vertical="center"/>
    </xf>
    <xf numFmtId="43" fontId="5" fillId="0" borderId="0" xfId="9" applyFont="1" applyBorder="1" applyAlignment="1">
      <alignment horizontal="center" vertical="center"/>
    </xf>
    <xf numFmtId="167" fontId="0" fillId="0" borderId="0" xfId="13" applyNumberFormat="1" applyFont="1" applyAlignment="1">
      <alignment horizontal="center" vertical="center"/>
    </xf>
    <xf numFmtId="2" fontId="3" fillId="3" borderId="0" xfId="9" applyNumberFormat="1" applyFont="1" applyFill="1" applyAlignment="1">
      <alignment horizontal="right" vertical="center"/>
    </xf>
    <xf numFmtId="2" fontId="3" fillId="3" borderId="3" xfId="9" applyNumberFormat="1" applyFont="1" applyFill="1" applyBorder="1" applyAlignment="1">
      <alignment horizontal="right" vertical="center"/>
    </xf>
    <xf numFmtId="43" fontId="3" fillId="2" borderId="0" xfId="9" applyFont="1" applyFill="1" applyAlignment="1">
      <alignment horizontal="right" vertical="center"/>
    </xf>
    <xf numFmtId="43" fontId="0" fillId="2" borderId="0" xfId="9" applyFont="1" applyFill="1" applyAlignment="1">
      <alignment vertical="center"/>
    </xf>
    <xf numFmtId="43" fontId="3" fillId="2" borderId="0" xfId="9" applyFont="1" applyFill="1" applyAlignment="1">
      <alignment horizontal="center" vertical="center"/>
    </xf>
    <xf numFmtId="0" fontId="2" fillId="0" borderId="0" xfId="14" applyFont="1" applyAlignment="1">
      <alignment horizontal="center" vertical="center"/>
    </xf>
    <xf numFmtId="43" fontId="5" fillId="0" borderId="1" xfId="9" applyFont="1" applyBorder="1"/>
    <xf numFmtId="0" fontId="5" fillId="0" borderId="0" xfId="0" applyFont="1" applyAlignment="1">
      <alignment horizontal="center"/>
    </xf>
    <xf numFmtId="43" fontId="0" fillId="0" borderId="0" xfId="9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3" fontId="5" fillId="0" borderId="0" xfId="9" applyFont="1"/>
    <xf numFmtId="10" fontId="0" fillId="0" borderId="0" xfId="13" applyNumberFormat="1" applyFont="1"/>
    <xf numFmtId="10" fontId="5" fillId="0" borderId="0" xfId="13" applyNumberFormat="1" applyFont="1"/>
    <xf numFmtId="4" fontId="0" fillId="0" borderId="0" xfId="0" applyNumberFormat="1"/>
    <xf numFmtId="43" fontId="9" fillId="0" borderId="0" xfId="9" applyFont="1" applyFill="1" applyAlignment="1">
      <alignment vertical="center"/>
    </xf>
    <xf numFmtId="2" fontId="3" fillId="2" borderId="0" xfId="9" applyNumberFormat="1" applyFont="1" applyFill="1" applyAlignment="1">
      <alignment horizontal="right" vertical="center"/>
    </xf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4" fontId="2" fillId="0" borderId="0" xfId="14" applyNumberFormat="1" applyFont="1" applyAlignment="1">
      <alignment vertical="center"/>
    </xf>
    <xf numFmtId="0" fontId="9" fillId="0" borderId="0" xfId="14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0" fillId="0" borderId="0" xfId="9" applyFont="1" applyBorder="1"/>
    <xf numFmtId="43" fontId="2" fillId="0" borderId="0" xfId="9" applyFont="1" applyFill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5" fillId="0" borderId="0" xfId="0" applyNumberFormat="1" applyFont="1"/>
    <xf numFmtId="9" fontId="5" fillId="0" borderId="0" xfId="13" applyFont="1" applyBorder="1" applyAlignment="1">
      <alignment horizontal="center"/>
    </xf>
    <xf numFmtId="10" fontId="0" fillId="0" borderId="0" xfId="13" applyNumberFormat="1" applyFont="1" applyBorder="1" applyAlignment="1">
      <alignment horizontal="center"/>
    </xf>
    <xf numFmtId="10" fontId="5" fillId="0" borderId="0" xfId="13" applyNumberFormat="1" applyFont="1" applyBorder="1" applyAlignment="1">
      <alignment horizontal="center"/>
    </xf>
    <xf numFmtId="10" fontId="1" fillId="0" borderId="0" xfId="13" applyNumberFormat="1" applyFont="1" applyBorder="1" applyAlignment="1">
      <alignment horizontal="center"/>
    </xf>
    <xf numFmtId="43" fontId="5" fillId="0" borderId="7" xfId="9" applyFont="1" applyBorder="1"/>
    <xf numFmtId="10" fontId="0" fillId="0" borderId="0" xfId="13" applyNumberFormat="1" applyFont="1" applyBorder="1"/>
    <xf numFmtId="10" fontId="5" fillId="0" borderId="0" xfId="13" applyNumberFormat="1" applyFont="1" applyBorder="1"/>
    <xf numFmtId="43" fontId="5" fillId="0" borderId="7" xfId="0" applyNumberFormat="1" applyFont="1" applyBorder="1"/>
    <xf numFmtId="10" fontId="0" fillId="0" borderId="0" xfId="13" quotePrefix="1" applyNumberFormat="1" applyFont="1" applyBorder="1"/>
    <xf numFmtId="43" fontId="5" fillId="0" borderId="0" xfId="9" applyFont="1" applyBorder="1"/>
    <xf numFmtId="10" fontId="5" fillId="0" borderId="0" xfId="13" quotePrefix="1" applyNumberFormat="1" applyFont="1" applyBorder="1"/>
    <xf numFmtId="4" fontId="5" fillId="0" borderId="7" xfId="0" applyNumberFormat="1" applyFont="1" applyBorder="1"/>
    <xf numFmtId="164" fontId="0" fillId="0" borderId="0" xfId="0" applyNumberFormat="1" applyAlignment="1">
      <alignment vertical="center"/>
    </xf>
    <xf numFmtId="43" fontId="5" fillId="0" borderId="0" xfId="9" applyFont="1" applyBorder="1" applyAlignment="1">
      <alignment horizontal="center"/>
    </xf>
    <xf numFmtId="43" fontId="5" fillId="0" borderId="1" xfId="9" applyFont="1" applyBorder="1" applyAlignment="1">
      <alignment horizontal="right" vertical="center"/>
    </xf>
    <xf numFmtId="0" fontId="0" fillId="0" borderId="0" xfId="0" applyAlignment="1">
      <alignment horizontal="center"/>
    </xf>
    <xf numFmtId="10" fontId="1" fillId="0" borderId="0" xfId="13" applyNumberFormat="1" applyFont="1" applyBorder="1"/>
    <xf numFmtId="43" fontId="0" fillId="4" borderId="0" xfId="9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9" applyFont="1" applyFill="1" applyAlignment="1">
      <alignment horizontal="center" vertical="center"/>
    </xf>
    <xf numFmtId="10" fontId="0" fillId="0" borderId="0" xfId="13" applyNumberFormat="1" applyFont="1" applyFill="1"/>
    <xf numFmtId="0" fontId="16" fillId="0" borderId="0" xfId="0" applyFont="1"/>
    <xf numFmtId="0" fontId="17" fillId="0" borderId="0" xfId="0" applyFont="1"/>
    <xf numFmtId="43" fontId="5" fillId="0" borderId="0" xfId="9" applyFont="1" applyFill="1"/>
    <xf numFmtId="43" fontId="5" fillId="0" borderId="0" xfId="9" applyFont="1" applyFill="1" applyBorder="1"/>
    <xf numFmtId="43" fontId="5" fillId="0" borderId="7" xfId="9" applyFont="1" applyFill="1" applyBorder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6" xfId="9" applyFont="1" applyFill="1" applyBorder="1" applyAlignment="1">
      <alignment horizontal="right" vertical="center"/>
    </xf>
    <xf numFmtId="43" fontId="7" fillId="0" borderId="6" xfId="9" applyFont="1" applyFill="1" applyBorder="1" applyAlignment="1">
      <alignment horizontal="center" vertical="center"/>
    </xf>
    <xf numFmtId="43" fontId="0" fillId="0" borderId="6" xfId="9" applyFont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6" xfId="9" applyFont="1" applyBorder="1"/>
    <xf numFmtId="43" fontId="0" fillId="0" borderId="0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43" fontId="0" fillId="5" borderId="0" xfId="0" applyNumberFormat="1" applyFill="1"/>
    <xf numFmtId="10" fontId="0" fillId="0" borderId="0" xfId="13" applyNumberFormat="1" applyFont="1" applyBorder="1" applyAlignment="1">
      <alignment horizontal="center" vertical="center"/>
    </xf>
    <xf numFmtId="43" fontId="5" fillId="0" borderId="0" xfId="0" applyNumberFormat="1" applyFont="1"/>
    <xf numFmtId="0" fontId="20" fillId="0" borderId="0" xfId="0" applyFont="1"/>
    <xf numFmtId="168" fontId="0" fillId="0" borderId="0" xfId="9" applyNumberFormat="1" applyFont="1"/>
    <xf numFmtId="0" fontId="5" fillId="0" borderId="6" xfId="0" applyFont="1" applyBorder="1" applyAlignment="1">
      <alignment horizontal="center"/>
    </xf>
    <xf numFmtId="43" fontId="5" fillId="0" borderId="7" xfId="9" applyFont="1" applyBorder="1" applyAlignment="1">
      <alignment horizontal="right" vertical="center"/>
    </xf>
    <xf numFmtId="43" fontId="5" fillId="0" borderId="6" xfId="0" applyNumberFormat="1" applyFont="1" applyBorder="1"/>
    <xf numFmtId="10" fontId="5" fillId="0" borderId="0" xfId="13" applyNumberFormat="1" applyFont="1" applyBorder="1" applyAlignment="1">
      <alignment horizontal="center" vertical="center"/>
    </xf>
    <xf numFmtId="43" fontId="1" fillId="0" borderId="0" xfId="9" applyFont="1" applyAlignment="1">
      <alignment horizontal="center" vertical="center"/>
    </xf>
    <xf numFmtId="0" fontId="15" fillId="0" borderId="0" xfId="0" applyFont="1"/>
    <xf numFmtId="43" fontId="0" fillId="0" borderId="0" xfId="9" quotePrefix="1" applyFont="1" applyBorder="1"/>
    <xf numFmtId="43" fontId="5" fillId="0" borderId="0" xfId="9" quotePrefix="1" applyFont="1" applyBorder="1"/>
    <xf numFmtId="43" fontId="3" fillId="0" borderId="6" xfId="9" applyFont="1" applyFill="1" applyBorder="1" applyAlignment="1">
      <alignment horizontal="right" vertical="center"/>
    </xf>
    <xf numFmtId="43" fontId="3" fillId="0" borderId="6" xfId="9" applyFont="1" applyFill="1" applyBorder="1" applyAlignment="1">
      <alignment horizontal="center" vertical="center"/>
    </xf>
    <xf numFmtId="169" fontId="0" fillId="0" borderId="0" xfId="13" applyNumberFormat="1" applyFont="1" applyAlignment="1">
      <alignment horizontal="center" vertical="center"/>
    </xf>
    <xf numFmtId="9" fontId="0" fillId="0" borderId="0" xfId="13" applyFont="1" applyAlignment="1">
      <alignment horizontal="center" vertical="center"/>
    </xf>
    <xf numFmtId="170" fontId="0" fillId="0" borderId="0" xfId="13" applyNumberFormat="1" applyFont="1" applyAlignment="1">
      <alignment horizontal="center" vertical="center"/>
    </xf>
    <xf numFmtId="49" fontId="1" fillId="0" borderId="0" xfId="9" applyNumberFormat="1" applyFont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right" vertical="center"/>
    </xf>
    <xf numFmtId="43" fontId="3" fillId="0" borderId="3" xfId="9" applyFont="1" applyFill="1" applyBorder="1" applyAlignment="1">
      <alignment horizontal="center" vertical="center"/>
    </xf>
    <xf numFmtId="43" fontId="3" fillId="0" borderId="4" xfId="9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43" fontId="0" fillId="0" borderId="6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43" fontId="5" fillId="0" borderId="0" xfId="9" applyFont="1" applyBorder="1" applyAlignment="1">
      <alignment horizontal="right" vertical="center"/>
    </xf>
    <xf numFmtId="43" fontId="5" fillId="0" borderId="5" xfId="9" applyFont="1" applyBorder="1" applyAlignment="1">
      <alignment horizontal="center" vertical="center"/>
    </xf>
    <xf numFmtId="43" fontId="0" fillId="0" borderId="0" xfId="9" quotePrefix="1" applyFont="1" applyFill="1"/>
    <xf numFmtId="43" fontId="0" fillId="0" borderId="0" xfId="9" applyFont="1" applyFill="1" applyAlignment="1">
      <alignment horizontal="left"/>
    </xf>
    <xf numFmtId="43" fontId="0" fillId="0" borderId="0" xfId="0" applyNumberForma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3" fontId="15" fillId="0" borderId="0" xfId="9" applyFont="1" applyAlignment="1">
      <alignment horizontal="center" vertical="center"/>
    </xf>
    <xf numFmtId="10" fontId="5" fillId="0" borderId="0" xfId="13" applyNumberFormat="1" applyFont="1" applyAlignment="1">
      <alignment horizontal="center" vertical="center"/>
    </xf>
    <xf numFmtId="43" fontId="5" fillId="0" borderId="6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0" fillId="0" borderId="0" xfId="9" quotePrefix="1" applyFont="1"/>
    <xf numFmtId="43" fontId="3" fillId="2" borderId="3" xfId="9" quotePrefix="1" applyFont="1" applyFill="1" applyBorder="1" applyAlignment="1">
      <alignment horizontal="right" vertical="center"/>
    </xf>
    <xf numFmtId="43" fontId="3" fillId="2" borderId="3" xfId="9" applyFont="1" applyFill="1" applyBorder="1" applyAlignment="1">
      <alignment horizontal="right" vertical="center"/>
    </xf>
    <xf numFmtId="43" fontId="3" fillId="2" borderId="3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170" fontId="0" fillId="0" borderId="0" xfId="13" applyNumberFormat="1" applyFont="1"/>
    <xf numFmtId="0" fontId="19" fillId="0" borderId="0" xfId="0" applyFont="1"/>
    <xf numFmtId="0" fontId="14" fillId="0" borderId="0" xfId="0" applyFont="1"/>
    <xf numFmtId="43" fontId="18" fillId="0" borderId="0" xfId="0" applyNumberFormat="1" applyFont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2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7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5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13" fillId="2" borderId="0" xfId="14" applyFont="1" applyFill="1" applyAlignment="1">
      <alignment vertical="center" wrapText="1"/>
    </xf>
    <xf numFmtId="0" fontId="2" fillId="2" borderId="0" xfId="14" applyFont="1" applyFill="1" applyAlignment="1">
      <alignment vertical="center" wrapText="1"/>
    </xf>
    <xf numFmtId="43" fontId="0" fillId="0" borderId="0" xfId="9" applyFont="1" applyBorder="1" applyAlignment="1">
      <alignment vertical="center"/>
    </xf>
    <xf numFmtId="2" fontId="0" fillId="0" borderId="0" xfId="9" applyNumberFormat="1" applyFont="1" applyBorder="1" applyAlignment="1">
      <alignment horizontal="right" vertical="center"/>
    </xf>
    <xf numFmtId="10" fontId="0" fillId="0" borderId="0" xfId="13" applyNumberFormat="1" applyFont="1" applyFill="1" applyBorder="1"/>
    <xf numFmtId="10" fontId="5" fillId="0" borderId="0" xfId="13" applyNumberFormat="1" applyFont="1" applyFill="1" applyBorder="1"/>
    <xf numFmtId="10" fontId="0" fillId="0" borderId="0" xfId="0" applyNumberFormat="1"/>
    <xf numFmtId="43" fontId="0" fillId="0" borderId="0" xfId="9" applyFont="1" applyFill="1" applyBorder="1" applyAlignment="1">
      <alignment horizontal="right" vertical="center"/>
    </xf>
    <xf numFmtId="4" fontId="5" fillId="0" borderId="0" xfId="0" applyNumberFormat="1" applyFont="1"/>
    <xf numFmtId="49" fontId="5" fillId="0" borderId="0" xfId="9" applyNumberFormat="1" applyFont="1" applyBorder="1" applyAlignment="1">
      <alignment horizontal="center" vertical="center"/>
    </xf>
    <xf numFmtId="43" fontId="5" fillId="0" borderId="0" xfId="9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3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0" fontId="7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43" fontId="6" fillId="0" borderId="6" xfId="9" applyFont="1" applyFill="1" applyBorder="1"/>
    <xf numFmtId="43" fontId="6" fillId="0" borderId="6" xfId="9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left"/>
    </xf>
    <xf numFmtId="43" fontId="1" fillId="0" borderId="8" xfId="9" applyFon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4" fontId="0" fillId="0" borderId="8" xfId="0" applyNumberFormat="1" applyBorder="1" applyAlignment="1">
      <alignment horizontal="left"/>
    </xf>
    <xf numFmtId="43" fontId="0" fillId="0" borderId="0" xfId="13" applyNumberFormat="1" applyFont="1"/>
    <xf numFmtId="43" fontId="0" fillId="0" borderId="0" xfId="9" quotePrefix="1" applyFont="1" applyAlignment="1">
      <alignment horizontal="center" vertical="center"/>
    </xf>
    <xf numFmtId="43" fontId="5" fillId="0" borderId="6" xfId="9" applyFont="1" applyBorder="1"/>
    <xf numFmtId="43" fontId="5" fillId="0" borderId="6" xfId="9" applyFont="1" applyBorder="1" applyAlignment="1">
      <alignment horizontal="center" vertical="center"/>
    </xf>
    <xf numFmtId="43" fontId="2" fillId="2" borderId="0" xfId="9" quotePrefix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0" xfId="9" applyNumberFormat="1" applyFont="1" applyBorder="1" applyAlignment="1">
      <alignment horizontal="center" vertical="center"/>
    </xf>
    <xf numFmtId="43" fontId="16" fillId="0" borderId="0" xfId="0" applyNumberFormat="1" applyFont="1" applyAlignment="1">
      <alignment vertical="center"/>
    </xf>
    <xf numFmtId="171" fontId="0" fillId="0" borderId="8" xfId="0" applyNumberFormat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17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49" fontId="0" fillId="0" borderId="0" xfId="9" applyNumberFormat="1" applyFont="1" applyBorder="1" applyAlignment="1">
      <alignment horizontal="center" vertical="center" wrapText="1"/>
    </xf>
    <xf numFmtId="43" fontId="0" fillId="0" borderId="0" xfId="9" applyFont="1" applyBorder="1" applyAlignment="1">
      <alignment horizontal="center" vertical="center" wrapText="1"/>
    </xf>
    <xf numFmtId="43" fontId="16" fillId="0" borderId="0" xfId="0" applyNumberFormat="1" applyFont="1" applyAlignment="1">
      <alignment vertical="center" wrapText="1"/>
    </xf>
    <xf numFmtId="43" fontId="0" fillId="0" borderId="0" xfId="9" applyFont="1" applyBorder="1" applyAlignment="1">
      <alignment vertical="center" wrapText="1"/>
    </xf>
    <xf numFmtId="43" fontId="0" fillId="0" borderId="6" xfId="9" applyFont="1" applyBorder="1" applyAlignment="1">
      <alignment vertical="center" wrapText="1"/>
    </xf>
    <xf numFmtId="43" fontId="0" fillId="0" borderId="8" xfId="9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43" fontId="0" fillId="0" borderId="8" xfId="9" applyFont="1" applyFill="1" applyBorder="1" applyAlignment="1">
      <alignment horizontal="right"/>
    </xf>
    <xf numFmtId="43" fontId="0" fillId="0" borderId="8" xfId="9" applyFont="1" applyFill="1" applyBorder="1" applyAlignment="1">
      <alignment horizontal="left"/>
    </xf>
    <xf numFmtId="171" fontId="0" fillId="0" borderId="8" xfId="0" applyNumberFormat="1" applyBorder="1" applyAlignment="1">
      <alignment horizontal="center"/>
    </xf>
    <xf numFmtId="0" fontId="16" fillId="2" borderId="8" xfId="0" applyFont="1" applyFill="1" applyBorder="1" applyAlignment="1">
      <alignment horizontal="center" vertical="center" wrapText="1"/>
    </xf>
    <xf numFmtId="44" fontId="16" fillId="0" borderId="8" xfId="0" applyNumberFormat="1" applyFont="1" applyBorder="1" applyAlignment="1">
      <alignment vertical="center" wrapText="1"/>
    </xf>
    <xf numFmtId="17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center" vertical="center"/>
    </xf>
    <xf numFmtId="43" fontId="25" fillId="0" borderId="0" xfId="0" applyNumberFormat="1" applyFont="1" applyAlignment="1">
      <alignment vertical="center"/>
    </xf>
    <xf numFmtId="43" fontId="16" fillId="0" borderId="0" xfId="9" applyFont="1" applyBorder="1" applyAlignment="1">
      <alignment vertical="center"/>
    </xf>
    <xf numFmtId="0" fontId="1" fillId="0" borderId="8" xfId="2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43" fontId="0" fillId="0" borderId="8" xfId="9" applyFont="1" applyFill="1" applyBorder="1" applyAlignment="1">
      <alignment horizontal="right" vertical="center"/>
    </xf>
    <xf numFmtId="43" fontId="0" fillId="0" borderId="8" xfId="9" applyFont="1" applyFill="1" applyBorder="1" applyAlignment="1">
      <alignment vertical="center"/>
    </xf>
    <xf numFmtId="43" fontId="1" fillId="0" borderId="8" xfId="9" applyFont="1" applyFill="1" applyBorder="1" applyAlignment="1">
      <alignment vertical="center"/>
    </xf>
    <xf numFmtId="43" fontId="1" fillId="0" borderId="8" xfId="9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43" fontId="0" fillId="2" borderId="0" xfId="0" applyNumberFormat="1" applyFill="1"/>
    <xf numFmtId="0" fontId="3" fillId="2" borderId="0" xfId="0" applyFont="1" applyFill="1" applyAlignment="1">
      <alignment vertical="center"/>
    </xf>
    <xf numFmtId="43" fontId="5" fillId="2" borderId="7" xfId="0" applyNumberFormat="1" applyFont="1" applyFill="1" applyBorder="1"/>
    <xf numFmtId="43" fontId="5" fillId="2" borderId="0" xfId="0" applyNumberFormat="1" applyFont="1" applyFill="1"/>
    <xf numFmtId="164" fontId="5" fillId="2" borderId="0" xfId="0" applyNumberFormat="1" applyFont="1" applyFill="1"/>
    <xf numFmtId="43" fontId="5" fillId="2" borderId="7" xfId="9" applyFont="1" applyFill="1" applyBorder="1"/>
    <xf numFmtId="43" fontId="5" fillId="2" borderId="5" xfId="9" applyFont="1" applyFill="1" applyBorder="1"/>
    <xf numFmtId="43" fontId="9" fillId="2" borderId="0" xfId="9" applyFont="1" applyFill="1" applyBorder="1" applyAlignment="1">
      <alignment vertical="center"/>
    </xf>
    <xf numFmtId="0" fontId="11" fillId="2" borderId="0" xfId="14" applyFont="1" applyFill="1" applyAlignment="1">
      <alignment vertical="center"/>
    </xf>
    <xf numFmtId="43" fontId="11" fillId="2" borderId="0" xfId="9" applyFont="1" applyFill="1" applyBorder="1" applyAlignment="1">
      <alignment vertical="center"/>
    </xf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0" xfId="9" applyFont="1" applyFill="1" applyBorder="1" applyAlignment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4" fontId="33" fillId="0" borderId="0" xfId="0" applyNumberFormat="1" applyFont="1" applyAlignment="1">
      <alignment horizontal="left" vertical="center"/>
    </xf>
    <xf numFmtId="171" fontId="3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43" fontId="16" fillId="0" borderId="0" xfId="9" applyFont="1" applyAlignment="1">
      <alignment horizontal="left"/>
    </xf>
    <xf numFmtId="171" fontId="21" fillId="3" borderId="8" xfId="0" applyNumberFormat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43" fontId="21" fillId="3" borderId="8" xfId="9" applyFont="1" applyFill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left"/>
    </xf>
    <xf numFmtId="43" fontId="0" fillId="0" borderId="16" xfId="9" applyFont="1" applyFill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43" fontId="5" fillId="0" borderId="11" xfId="0" applyNumberFormat="1" applyFont="1" applyBorder="1"/>
    <xf numFmtId="43" fontId="0" fillId="0" borderId="8" xfId="9" applyFont="1" applyBorder="1" applyAlignment="1">
      <alignment horizontal="right" vertical="center"/>
    </xf>
    <xf numFmtId="43" fontId="0" fillId="0" borderId="8" xfId="9" applyFont="1" applyBorder="1" applyAlignment="1">
      <alignment vertical="center"/>
    </xf>
    <xf numFmtId="43" fontId="1" fillId="0" borderId="8" xfId="9" applyFont="1" applyBorder="1" applyAlignment="1">
      <alignment vertical="center"/>
    </xf>
    <xf numFmtId="43" fontId="1" fillId="0" borderId="8" xfId="9" applyFont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3" fontId="0" fillId="0" borderId="4" xfId="9" applyFont="1" applyBorder="1" applyAlignment="1">
      <alignment horizontal="center" vertical="center" wrapText="1"/>
    </xf>
    <xf numFmtId="43" fontId="25" fillId="0" borderId="15" xfId="0" applyNumberFormat="1" applyFont="1" applyBorder="1" applyAlignment="1">
      <alignment vertical="center" wrapText="1"/>
    </xf>
    <xf numFmtId="171" fontId="0" fillId="0" borderId="8" xfId="0" applyNumberForma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43" fontId="16" fillId="0" borderId="15" xfId="0" applyNumberFormat="1" applyFont="1" applyBorder="1" applyAlignment="1">
      <alignment vertical="center" wrapText="1"/>
    </xf>
    <xf numFmtId="43" fontId="3" fillId="0" borderId="6" xfId="9" quotePrefix="1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center"/>
    </xf>
    <xf numFmtId="0" fontId="5" fillId="0" borderId="8" xfId="0" applyFont="1" applyBorder="1"/>
    <xf numFmtId="43" fontId="5" fillId="0" borderId="8" xfId="9" applyFont="1" applyBorder="1"/>
    <xf numFmtId="43" fontId="5" fillId="7" borderId="8" xfId="9" applyFont="1" applyFill="1" applyBorder="1"/>
    <xf numFmtId="43" fontId="1" fillId="0" borderId="8" xfId="9" applyFont="1" applyBorder="1"/>
    <xf numFmtId="43" fontId="1" fillId="0" borderId="0" xfId="9" applyFont="1" applyFill="1" applyBorder="1"/>
    <xf numFmtId="43" fontId="0" fillId="0" borderId="0" xfId="13" applyNumberFormat="1" applyFont="1" applyBorder="1"/>
    <xf numFmtId="0" fontId="5" fillId="8" borderId="8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 wrapText="1"/>
    </xf>
    <xf numFmtId="0" fontId="5" fillId="8" borderId="8" xfId="0" applyFont="1" applyFill="1" applyBorder="1"/>
    <xf numFmtId="43" fontId="5" fillId="8" borderId="8" xfId="9" applyFont="1" applyFill="1" applyBorder="1"/>
    <xf numFmtId="0" fontId="5" fillId="7" borderId="8" xfId="0" applyFont="1" applyFill="1" applyBorder="1"/>
    <xf numFmtId="43" fontId="5" fillId="9" borderId="8" xfId="9" applyFont="1" applyFill="1" applyBorder="1"/>
    <xf numFmtId="0" fontId="5" fillId="9" borderId="8" xfId="0" applyFont="1" applyFill="1" applyBorder="1"/>
    <xf numFmtId="0" fontId="3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6" xfId="0" applyBorder="1"/>
    <xf numFmtId="0" fontId="6" fillId="0" borderId="7" xfId="0" applyFont="1" applyBorder="1"/>
    <xf numFmtId="0" fontId="5" fillId="0" borderId="7" xfId="0" applyFont="1" applyBorder="1" applyAlignment="1">
      <alignment horizontal="center" vertical="center" wrapText="1"/>
    </xf>
    <xf numFmtId="43" fontId="5" fillId="0" borderId="7" xfId="9" applyFont="1" applyFill="1" applyBorder="1" applyAlignment="1">
      <alignment horizontal="center" vertical="center" wrapText="1"/>
    </xf>
    <xf numFmtId="43" fontId="5" fillId="0" borderId="5" xfId="9" applyFont="1" applyFill="1" applyBorder="1"/>
    <xf numFmtId="43" fontId="0" fillId="0" borderId="0" xfId="13" applyNumberFormat="1" applyFont="1" applyBorder="1" applyAlignment="1">
      <alignment horizontal="center" vertical="center"/>
    </xf>
    <xf numFmtId="43" fontId="0" fillId="0" borderId="9" xfId="9" applyFont="1" applyBorder="1" applyAlignment="1">
      <alignment horizontal="center" vertical="center"/>
    </xf>
    <xf numFmtId="43" fontId="0" fillId="0" borderId="0" xfId="9" quotePrefix="1" applyFont="1" applyBorder="1" applyAlignment="1">
      <alignment horizontal="right"/>
    </xf>
    <xf numFmtId="43" fontId="0" fillId="0" borderId="6" xfId="9" quotePrefix="1" applyFont="1" applyBorder="1" applyAlignment="1">
      <alignment horizontal="right"/>
    </xf>
    <xf numFmtId="43" fontId="0" fillId="0" borderId="0" xfId="13" applyNumberFormat="1" applyFont="1" applyBorder="1" applyAlignment="1">
      <alignment horizontal="center"/>
    </xf>
    <xf numFmtId="43" fontId="0" fillId="0" borderId="9" xfId="13" applyNumberFormat="1" applyFont="1" applyBorder="1" applyAlignment="1">
      <alignment horizontal="center"/>
    </xf>
    <xf numFmtId="43" fontId="0" fillId="0" borderId="6" xfId="13" applyNumberFormat="1" applyFont="1" applyBorder="1" applyAlignment="1">
      <alignment horizontal="center"/>
    </xf>
    <xf numFmtId="10" fontId="5" fillId="0" borderId="7" xfId="13" applyNumberFormat="1" applyFont="1" applyBorder="1" applyAlignment="1">
      <alignment horizontal="center"/>
    </xf>
    <xf numFmtId="43" fontId="5" fillId="0" borderId="7" xfId="13" applyNumberFormat="1" applyFont="1" applyBorder="1" applyAlignment="1">
      <alignment horizontal="center"/>
    </xf>
    <xf numFmtId="43" fontId="5" fillId="0" borderId="7" xfId="13" applyNumberFormat="1" applyFont="1" applyBorder="1" applyAlignment="1">
      <alignment horizontal="center" vertical="center"/>
    </xf>
    <xf numFmtId="10" fontId="0" fillId="0" borderId="6" xfId="13" applyNumberFormat="1" applyFont="1" applyBorder="1" applyAlignment="1">
      <alignment horizontal="center"/>
    </xf>
    <xf numFmtId="43" fontId="0" fillId="0" borderId="7" xfId="13" applyNumberFormat="1" applyFont="1" applyBorder="1" applyAlignment="1">
      <alignment horizontal="center"/>
    </xf>
    <xf numFmtId="43" fontId="7" fillId="0" borderId="7" xfId="9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3" fontId="16" fillId="0" borderId="0" xfId="9" applyFont="1" applyFill="1" applyBorder="1" applyAlignment="1">
      <alignment horizontal="center" vertical="center" wrapText="1"/>
    </xf>
    <xf numFmtId="43" fontId="29" fillId="0" borderId="0" xfId="9" applyFont="1" applyFill="1" applyBorder="1" applyAlignment="1">
      <alignment horizontal="center" vertical="center" wrapText="1"/>
    </xf>
    <xf numFmtId="43" fontId="5" fillId="0" borderId="6" xfId="13" applyNumberFormat="1" applyFont="1" applyBorder="1" applyAlignment="1">
      <alignment horizontal="center"/>
    </xf>
    <xf numFmtId="43" fontId="0" fillId="0" borderId="0" xfId="13" applyNumberFormat="1" applyFont="1" applyFill="1" applyBorder="1" applyAlignment="1">
      <alignment horizontal="center"/>
    </xf>
    <xf numFmtId="43" fontId="0" fillId="0" borderId="6" xfId="13" applyNumberFormat="1" applyFont="1" applyFill="1" applyBorder="1" applyAlignment="1">
      <alignment horizontal="center"/>
    </xf>
    <xf numFmtId="43" fontId="5" fillId="0" borderId="6" xfId="13" applyNumberFormat="1" applyFont="1" applyFill="1" applyBorder="1" applyAlignment="1">
      <alignment horizontal="center"/>
    </xf>
    <xf numFmtId="43" fontId="0" fillId="0" borderId="6" xfId="13" applyNumberFormat="1" applyFont="1" applyBorder="1"/>
    <xf numFmtId="43" fontId="5" fillId="0" borderId="7" xfId="13" applyNumberFormat="1" applyFont="1" applyBorder="1"/>
    <xf numFmtId="0" fontId="12" fillId="2" borderId="0" xfId="14" applyFont="1" applyFill="1" applyAlignment="1">
      <alignment vertical="center"/>
    </xf>
    <xf numFmtId="0" fontId="5" fillId="2" borderId="6" xfId="0" applyFont="1" applyFill="1" applyBorder="1" applyAlignment="1">
      <alignment horizontal="center"/>
    </xf>
    <xf numFmtId="43" fontId="5" fillId="2" borderId="0" xfId="9" applyFont="1" applyFill="1" applyAlignment="1">
      <alignment horizontal="center" vertical="center"/>
    </xf>
    <xf numFmtId="43" fontId="0" fillId="2" borderId="0" xfId="9" applyFont="1" applyFill="1" applyBorder="1" applyAlignment="1">
      <alignment horizontal="center" vertical="center"/>
    </xf>
    <xf numFmtId="43" fontId="0" fillId="2" borderId="0" xfId="13" applyNumberFormat="1" applyFont="1" applyFill="1" applyBorder="1" applyAlignment="1">
      <alignment horizontal="center" vertical="center"/>
    </xf>
    <xf numFmtId="10" fontId="0" fillId="2" borderId="0" xfId="13" applyNumberFormat="1" applyFont="1" applyFill="1" applyBorder="1" applyAlignment="1">
      <alignment horizontal="center" vertical="center"/>
    </xf>
    <xf numFmtId="10" fontId="5" fillId="2" borderId="0" xfId="13" applyNumberFormat="1" applyFont="1" applyFill="1" applyBorder="1" applyAlignment="1">
      <alignment horizontal="center"/>
    </xf>
    <xf numFmtId="43" fontId="5" fillId="2" borderId="0" xfId="9" applyFont="1" applyFill="1" applyAlignment="1">
      <alignment horizontal="left"/>
    </xf>
    <xf numFmtId="43" fontId="5" fillId="2" borderId="0" xfId="9" applyFont="1" applyFill="1" applyBorder="1" applyAlignment="1">
      <alignment horizontal="center" vertical="center"/>
    </xf>
    <xf numFmtId="10" fontId="0" fillId="2" borderId="0" xfId="13" applyNumberFormat="1" applyFont="1" applyFill="1" applyBorder="1"/>
    <xf numFmtId="10" fontId="5" fillId="2" borderId="0" xfId="13" applyNumberFormat="1" applyFont="1" applyFill="1" applyBorder="1"/>
    <xf numFmtId="0" fontId="5" fillId="2" borderId="0" xfId="0" applyFont="1" applyFill="1" applyAlignment="1">
      <alignment vertical="center"/>
    </xf>
    <xf numFmtId="43" fontId="0" fillId="2" borderId="0" xfId="13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 wrapText="1"/>
    </xf>
    <xf numFmtId="43" fontId="5" fillId="2" borderId="0" xfId="13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43" fontId="5" fillId="2" borderId="0" xfId="13" applyNumberFormat="1" applyFont="1" applyFill="1" applyBorder="1" applyAlignment="1">
      <alignment horizontal="center" vertical="center"/>
    </xf>
    <xf numFmtId="10" fontId="5" fillId="2" borderId="0" xfId="13" applyNumberFormat="1" applyFont="1" applyFill="1" applyBorder="1" applyAlignment="1">
      <alignment horizontal="center" vertical="center"/>
    </xf>
    <xf numFmtId="10" fontId="0" fillId="2" borderId="0" xfId="13" applyNumberFormat="1" applyFont="1" applyFill="1"/>
    <xf numFmtId="43" fontId="5" fillId="2" borderId="0" xfId="9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0" fillId="2" borderId="6" xfId="0" applyFill="1" applyBorder="1"/>
    <xf numFmtId="0" fontId="6" fillId="2" borderId="7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43" fontId="5" fillId="2" borderId="7" xfId="9" applyFont="1" applyFill="1" applyBorder="1" applyAlignment="1">
      <alignment horizontal="center" vertical="center" wrapText="1"/>
    </xf>
    <xf numFmtId="43" fontId="5" fillId="2" borderId="7" xfId="9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43" fontId="5" fillId="2" borderId="6" xfId="9" applyFont="1" applyFill="1" applyBorder="1" applyAlignment="1">
      <alignment horizontal="right" vertical="center"/>
    </xf>
    <xf numFmtId="43" fontId="0" fillId="2" borderId="6" xfId="9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43" fontId="5" fillId="2" borderId="6" xfId="9" applyFont="1" applyFill="1" applyBorder="1" applyAlignment="1">
      <alignment horizontal="center" vertical="center"/>
    </xf>
    <xf numFmtId="43" fontId="6" fillId="2" borderId="6" xfId="9" applyFont="1" applyFill="1" applyBorder="1"/>
    <xf numFmtId="43" fontId="6" fillId="2" borderId="6" xfId="9" applyFont="1" applyFill="1" applyBorder="1" applyAlignment="1">
      <alignment horizontal="center"/>
    </xf>
    <xf numFmtId="43" fontId="5" fillId="2" borderId="6" xfId="9" quotePrefix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43" fontId="5" fillId="2" borderId="5" xfId="9" applyFont="1" applyFill="1" applyBorder="1" applyAlignment="1">
      <alignment horizontal="right" vertical="center"/>
    </xf>
    <xf numFmtId="43" fontId="5" fillId="2" borderId="5" xfId="9" applyFont="1" applyFill="1" applyBorder="1" applyAlignment="1">
      <alignment horizontal="center" vertical="center"/>
    </xf>
    <xf numFmtId="43" fontId="5" fillId="2" borderId="0" xfId="9" applyFont="1" applyFill="1" applyAlignment="1">
      <alignment horizontal="right" vertical="center"/>
    </xf>
    <xf numFmtId="43" fontId="0" fillId="2" borderId="0" xfId="9" applyFont="1" applyFill="1" applyBorder="1" applyAlignment="1">
      <alignment horizontal="right" vertical="center"/>
    </xf>
    <xf numFmtId="43" fontId="5" fillId="2" borderId="7" xfId="9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43" fontId="5" fillId="2" borderId="0" xfId="9" quotePrefix="1" applyFont="1" applyFill="1" applyBorder="1"/>
    <xf numFmtId="43" fontId="0" fillId="2" borderId="0" xfId="9" quotePrefix="1" applyFont="1" applyFill="1" applyBorder="1"/>
    <xf numFmtId="43" fontId="5" fillId="2" borderId="0" xfId="9" quotePrefix="1" applyFont="1" applyFill="1"/>
    <xf numFmtId="43" fontId="5" fillId="2" borderId="0" xfId="9" applyFont="1" applyFill="1"/>
    <xf numFmtId="4" fontId="5" fillId="2" borderId="7" xfId="0" applyNumberFormat="1" applyFont="1" applyFill="1" applyBorder="1"/>
    <xf numFmtId="4" fontId="5" fillId="2" borderId="0" xfId="0" applyNumberFormat="1" applyFont="1" applyFill="1"/>
    <xf numFmtId="0" fontId="10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center"/>
    </xf>
    <xf numFmtId="0" fontId="9" fillId="2" borderId="0" xfId="14" applyFont="1" applyFill="1" applyAlignment="1">
      <alignment horizontal="left" vertic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11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3" fontId="5" fillId="2" borderId="0" xfId="0" applyNumberFormat="1" applyFont="1" applyFill="1" applyAlignment="1">
      <alignment horizontal="left"/>
    </xf>
    <xf numFmtId="0" fontId="2" fillId="0" borderId="0" xfId="14" applyFont="1" applyAlignment="1">
      <alignment horizontal="center" vertical="center"/>
    </xf>
    <xf numFmtId="0" fontId="9" fillId="0" borderId="0" xfId="14" applyFont="1" applyAlignment="1">
      <alignment horizontal="center" vertical="center"/>
    </xf>
    <xf numFmtId="0" fontId="11" fillId="0" borderId="0" xfId="14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3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43" fontId="5" fillId="2" borderId="0" xfId="0" applyNumberFormat="1" applyFont="1" applyFill="1"/>
    <xf numFmtId="0" fontId="5" fillId="2" borderId="0" xfId="0" applyFont="1" applyFill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0" fillId="0" borderId="0" xfId="0" applyFont="1" applyAlignment="1" applyProtection="1">
      <alignment horizontal="center"/>
      <protection locked="0"/>
    </xf>
    <xf numFmtId="0" fontId="31" fillId="0" borderId="0" xfId="0" applyFont="1" applyAlignment="1">
      <alignment horizontal="center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2" Type="http://schemas.openxmlformats.org/officeDocument/2006/relationships/image" Target="../media/image9.emf"/><Relationship Id="rId1" Type="http://schemas.openxmlformats.org/officeDocument/2006/relationships/image" Target="../media/image1.png"/><Relationship Id="rId6" Type="http://schemas.openxmlformats.org/officeDocument/2006/relationships/image" Target="../media/image13.png"/><Relationship Id="rId5" Type="http://schemas.openxmlformats.org/officeDocument/2006/relationships/image" Target="../media/image12.emf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4.emf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4" Type="http://schemas.openxmlformats.org/officeDocument/2006/relationships/image" Target="../media/image12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2</xdr:col>
      <xdr:colOff>379730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542925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2117147</xdr:colOff>
      <xdr:row>58</xdr:row>
      <xdr:rowOff>8659</xdr:rowOff>
    </xdr:from>
    <xdr:to>
      <xdr:col>4</xdr:col>
      <xdr:colOff>128803</xdr:colOff>
      <xdr:row>61</xdr:row>
      <xdr:rowOff>146989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215" y="10252364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150668</xdr:colOff>
      <xdr:row>64</xdr:row>
      <xdr:rowOff>70138</xdr:rowOff>
    </xdr:from>
    <xdr:to>
      <xdr:col>3</xdr:col>
      <xdr:colOff>674543</xdr:colOff>
      <xdr:row>71</xdr:row>
      <xdr:rowOff>25111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874077" y="11404888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623455</xdr:colOff>
      <xdr:row>57</xdr:row>
      <xdr:rowOff>59748</xdr:rowOff>
    </xdr:from>
    <xdr:to>
      <xdr:col>1</xdr:col>
      <xdr:colOff>1718830</xdr:colOff>
      <xdr:row>62</xdr:row>
      <xdr:rowOff>21648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26523" y="10112953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427765</xdr:colOff>
      <xdr:row>64</xdr:row>
      <xdr:rowOff>13855</xdr:rowOff>
    </xdr:from>
    <xdr:to>
      <xdr:col>1</xdr:col>
      <xdr:colOff>2361340</xdr:colOff>
      <xdr:row>71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063342" y="11016096"/>
          <a:ext cx="1268557" cy="1933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1593272</xdr:colOff>
      <xdr:row>47</xdr:row>
      <xdr:rowOff>43296</xdr:rowOff>
    </xdr:from>
    <xdr:to>
      <xdr:col>2</xdr:col>
      <xdr:colOff>487507</xdr:colOff>
      <xdr:row>52</xdr:row>
      <xdr:rowOff>129021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D3A214F4-863A-4A2F-95A2-015FE99D4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896340" y="8191501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502228</xdr:colOff>
      <xdr:row>44</xdr:row>
      <xdr:rowOff>103911</xdr:rowOff>
    </xdr:from>
    <xdr:to>
      <xdr:col>3</xdr:col>
      <xdr:colOff>633846</xdr:colOff>
      <xdr:row>51</xdr:row>
      <xdr:rowOff>117707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558FD89-E76F-4149-A8FE-141035DBB8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225637" y="7758547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285748</xdr:colOff>
      <xdr:row>311</xdr:row>
      <xdr:rowOff>77932</xdr:rowOff>
    </xdr:from>
    <xdr:to>
      <xdr:col>1</xdr:col>
      <xdr:colOff>1381123</xdr:colOff>
      <xdr:row>314</xdr:row>
      <xdr:rowOff>152402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826D88-1161-4C92-9B9A-A948E2B06944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588816" y="59089637"/>
          <a:ext cx="1095375" cy="6459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2554431</xdr:colOff>
      <xdr:row>312</xdr:row>
      <xdr:rowOff>0</xdr:rowOff>
    </xdr:from>
    <xdr:to>
      <xdr:col>4</xdr:col>
      <xdr:colOff>566087</xdr:colOff>
      <xdr:row>314</xdr:row>
      <xdr:rowOff>138330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D5AB587-3AD0-4747-985C-F6669EE8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9" y="59202205"/>
          <a:ext cx="4254861" cy="519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1420091</xdr:colOff>
      <xdr:row>302</xdr:row>
      <xdr:rowOff>155864</xdr:rowOff>
    </xdr:from>
    <xdr:to>
      <xdr:col>2</xdr:col>
      <xdr:colOff>314326</xdr:colOff>
      <xdr:row>308</xdr:row>
      <xdr:rowOff>51089</xdr:rowOff>
    </xdr:to>
    <xdr:pic>
      <xdr:nvPicPr>
        <xdr:cNvPr id="15" name="0 Imagen">
          <a:extLst>
            <a:ext uri="{FF2B5EF4-FFF2-40B4-BE49-F238E27FC236}">
              <a16:creationId xmlns:a16="http://schemas.microsoft.com/office/drawing/2014/main" id="{9C5F6FF7-A0BA-4DE7-977F-DC67B765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723159" y="58024569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554182</xdr:colOff>
      <xdr:row>302</xdr:row>
      <xdr:rowOff>77932</xdr:rowOff>
    </xdr:from>
    <xdr:to>
      <xdr:col>3</xdr:col>
      <xdr:colOff>685800</xdr:colOff>
      <xdr:row>309</xdr:row>
      <xdr:rowOff>13797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4DAE42C-F73D-434F-816B-8E853FF506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277591" y="57946637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77932</xdr:colOff>
      <xdr:row>317</xdr:row>
      <xdr:rowOff>34636</xdr:rowOff>
    </xdr:from>
    <xdr:to>
      <xdr:col>1</xdr:col>
      <xdr:colOff>2011507</xdr:colOff>
      <xdr:row>324</xdr:row>
      <xdr:rowOff>125557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C6D111A-4299-4627-9F09-081AB7979C9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713509" y="59856832"/>
          <a:ext cx="1268557" cy="1933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95250</xdr:colOff>
      <xdr:row>317</xdr:row>
      <xdr:rowOff>60613</xdr:rowOff>
    </xdr:from>
    <xdr:to>
      <xdr:col>3</xdr:col>
      <xdr:colOff>619125</xdr:colOff>
      <xdr:row>324</xdr:row>
      <xdr:rowOff>15586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0BAA485-8B17-4B85-A0D1-E491906CA70B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818659" y="60215318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6</xdr:row>
      <xdr:rowOff>76200</xdr:rowOff>
    </xdr:from>
    <xdr:to>
      <xdr:col>7</xdr:col>
      <xdr:colOff>455930</xdr:colOff>
      <xdr:row>9</xdr:row>
      <xdr:rowOff>161925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C67ECEE2-9AE9-4D05-9137-E7F0A184F5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21920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5</xdr:row>
      <xdr:rowOff>57150</xdr:rowOff>
    </xdr:from>
    <xdr:to>
      <xdr:col>5</xdr:col>
      <xdr:colOff>113030</xdr:colOff>
      <xdr:row>8</xdr:row>
      <xdr:rowOff>142875</xdr:rowOff>
    </xdr:to>
    <xdr:pic>
      <xdr:nvPicPr>
        <xdr:cNvPr id="3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0BDC8ABF-A0AE-419D-945D-700323E93F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096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704851</xdr:colOff>
      <xdr:row>21</xdr:row>
      <xdr:rowOff>47625</xdr:rowOff>
    </xdr:from>
    <xdr:to>
      <xdr:col>4</xdr:col>
      <xdr:colOff>1033146</xdr:colOff>
      <xdr:row>30</xdr:row>
      <xdr:rowOff>56516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0833D-B322-46E0-A6A0-2C74A7493944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745865" y="3826511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3</xdr:row>
      <xdr:rowOff>66675</xdr:rowOff>
    </xdr:from>
    <xdr:to>
      <xdr:col>6</xdr:col>
      <xdr:colOff>1351280</xdr:colOff>
      <xdr:row>6</xdr:row>
      <xdr:rowOff>152400</xdr:rowOff>
    </xdr:to>
    <xdr:pic>
      <xdr:nvPicPr>
        <xdr:cNvPr id="4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4F5A3555-D1EA-4424-BA5F-6F5F882B21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381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1085850</xdr:colOff>
      <xdr:row>7</xdr:row>
      <xdr:rowOff>151417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952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2419350</xdr:colOff>
      <xdr:row>43</xdr:row>
      <xdr:rowOff>28575</xdr:rowOff>
    </xdr:from>
    <xdr:to>
      <xdr:col>5</xdr:col>
      <xdr:colOff>1164431</xdr:colOff>
      <xdr:row>46</xdr:row>
      <xdr:rowOff>135732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8239125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49</xdr:row>
      <xdr:rowOff>95250</xdr:rowOff>
    </xdr:from>
    <xdr:to>
      <xdr:col>5</xdr:col>
      <xdr:colOff>762000</xdr:colOff>
      <xdr:row>56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848225" y="9448800"/>
          <a:ext cx="2095500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41</xdr:row>
      <xdr:rowOff>180975</xdr:rowOff>
    </xdr:from>
    <xdr:to>
      <xdr:col>1</xdr:col>
      <xdr:colOff>1514475</xdr:colOff>
      <xdr:row>46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FE7688-A638-4DEE-AB19-2DC5B9A5B27A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1095375" y="801052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114305</xdr:colOff>
      <xdr:row>49</xdr:row>
      <xdr:rowOff>133349</xdr:rowOff>
    </xdr:from>
    <xdr:to>
      <xdr:col>1</xdr:col>
      <xdr:colOff>2076455</xdr:colOff>
      <xdr:row>56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578EA-AC2D-40B3-BB47-2A270F7C72B9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109667" y="9167812"/>
          <a:ext cx="1323975" cy="1962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104775</xdr:rowOff>
    </xdr:from>
    <xdr:to>
      <xdr:col>3</xdr:col>
      <xdr:colOff>208280</xdr:colOff>
      <xdr:row>7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762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371475</xdr:colOff>
      <xdr:row>3</xdr:row>
      <xdr:rowOff>142875</xdr:rowOff>
    </xdr:from>
    <xdr:to>
      <xdr:col>6</xdr:col>
      <xdr:colOff>104775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45</xdr:row>
      <xdr:rowOff>76200</xdr:rowOff>
    </xdr:from>
    <xdr:to>
      <xdr:col>6</xdr:col>
      <xdr:colOff>95250</xdr:colOff>
      <xdr:row>53</xdr:row>
      <xdr:rowOff>47625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505450" y="8858250"/>
          <a:ext cx="1943100" cy="1495425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438150</xdr:colOff>
      <xdr:row>38</xdr:row>
      <xdr:rowOff>85725</xdr:rowOff>
    </xdr:from>
    <xdr:to>
      <xdr:col>7</xdr:col>
      <xdr:colOff>40481</xdr:colOff>
      <xdr:row>42</xdr:row>
      <xdr:rowOff>2382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7534275"/>
          <a:ext cx="42886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38102</xdr:colOff>
      <xdr:row>46</xdr:row>
      <xdr:rowOff>38099</xdr:rowOff>
    </xdr:from>
    <xdr:to>
      <xdr:col>1</xdr:col>
      <xdr:colOff>219077</xdr:colOff>
      <xdr:row>53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B3405F-8ED3-4E49-A8DA-C32E0724D318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33389" y="8615362"/>
          <a:ext cx="1295401" cy="208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552450</xdr:colOff>
      <xdr:row>37</xdr:row>
      <xdr:rowOff>47625</xdr:rowOff>
    </xdr:from>
    <xdr:to>
      <xdr:col>0</xdr:col>
      <xdr:colOff>1647825</xdr:colOff>
      <xdr:row>41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07A15D-D1C7-4821-8D26-E96DF6DFE593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552450" y="73056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57150</xdr:rowOff>
    </xdr:from>
    <xdr:to>
      <xdr:col>1</xdr:col>
      <xdr:colOff>3742055</xdr:colOff>
      <xdr:row>6</xdr:row>
      <xdr:rowOff>142875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86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4324350</xdr:colOff>
      <xdr:row>4</xdr:row>
      <xdr:rowOff>104775</xdr:rowOff>
    </xdr:from>
    <xdr:to>
      <xdr:col>2</xdr:col>
      <xdr:colOff>1085850</xdr:colOff>
      <xdr:row>7</xdr:row>
      <xdr:rowOff>65692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8667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49</xdr:row>
      <xdr:rowOff>142875</xdr:rowOff>
    </xdr:from>
    <xdr:to>
      <xdr:col>3</xdr:col>
      <xdr:colOff>762000</xdr:colOff>
      <xdr:row>56</xdr:row>
      <xdr:rowOff>171450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048250" y="9477375"/>
          <a:ext cx="2085975" cy="1362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3200400</xdr:colOff>
      <xdr:row>43</xdr:row>
      <xdr:rowOff>104775</xdr:rowOff>
    </xdr:from>
    <xdr:to>
      <xdr:col>4</xdr:col>
      <xdr:colOff>250031</xdr:colOff>
      <xdr:row>47</xdr:row>
      <xdr:rowOff>21432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8296275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43</xdr:row>
      <xdr:rowOff>171450</xdr:rowOff>
    </xdr:from>
    <xdr:to>
      <xdr:col>1</xdr:col>
      <xdr:colOff>1704975</xdr:colOff>
      <xdr:row>47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FBCC36-3BBC-4779-A9AA-EFCDA388D1EF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33450" y="8362950"/>
          <a:ext cx="1362075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438155</xdr:colOff>
      <xdr:row>50</xdr:row>
      <xdr:rowOff>28574</xdr:rowOff>
    </xdr:from>
    <xdr:to>
      <xdr:col>1</xdr:col>
      <xdr:colOff>1866905</xdr:colOff>
      <xdr:row>56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E965A-82FE-4826-8F21-6E0C6BBE1A54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14392" y="9177337"/>
          <a:ext cx="1266825" cy="2019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2409825</xdr:colOff>
      <xdr:row>34</xdr:row>
      <xdr:rowOff>171450</xdr:rowOff>
    </xdr:from>
    <xdr:to>
      <xdr:col>2</xdr:col>
      <xdr:colOff>447676</xdr:colOff>
      <xdr:row>40</xdr:row>
      <xdr:rowOff>66675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32F12A03-212E-4213-BDED-7B0894148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000375" y="6648450"/>
          <a:ext cx="2314576" cy="1038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3</xdr:row>
      <xdr:rowOff>19050</xdr:rowOff>
    </xdr:from>
    <xdr:to>
      <xdr:col>5</xdr:col>
      <xdr:colOff>427355</xdr:colOff>
      <xdr:row>6</xdr:row>
      <xdr:rowOff>104775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905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9</xdr:col>
      <xdr:colOff>247650</xdr:colOff>
      <xdr:row>6</xdr:row>
      <xdr:rowOff>151417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762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44</xdr:row>
      <xdr:rowOff>123825</xdr:rowOff>
    </xdr:from>
    <xdr:to>
      <xdr:col>9</xdr:col>
      <xdr:colOff>1019175</xdr:colOff>
      <xdr:row>55</xdr:row>
      <xdr:rowOff>28575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048250" y="8905875"/>
          <a:ext cx="2571750" cy="2000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1047750</xdr:colOff>
      <xdr:row>38</xdr:row>
      <xdr:rowOff>85725</xdr:rowOff>
    </xdr:from>
    <xdr:to>
      <xdr:col>10</xdr:col>
      <xdr:colOff>516731</xdr:colOff>
      <xdr:row>42</xdr:row>
      <xdr:rowOff>2382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7724775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38</xdr:row>
      <xdr:rowOff>9525</xdr:rowOff>
    </xdr:from>
    <xdr:to>
      <xdr:col>1</xdr:col>
      <xdr:colOff>1743075</xdr:colOff>
      <xdr:row>41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CA7AA9-5C46-4318-8469-967117DFA8F2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9150" y="7648575"/>
          <a:ext cx="1362075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390527</xdr:colOff>
      <xdr:row>44</xdr:row>
      <xdr:rowOff>180975</xdr:rowOff>
    </xdr:from>
    <xdr:to>
      <xdr:col>2</xdr:col>
      <xdr:colOff>13972</xdr:colOff>
      <xdr:row>53</xdr:row>
      <xdr:rowOff>189866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C5DBF67-058B-408E-87D6-BCF690D26354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050291" y="8741411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5</xdr:col>
      <xdr:colOff>951230</xdr:colOff>
      <xdr:row>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50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507207</xdr:colOff>
      <xdr:row>5</xdr:row>
      <xdr:rowOff>80962</xdr:rowOff>
    </xdr:from>
    <xdr:to>
      <xdr:col>4</xdr:col>
      <xdr:colOff>2452686</xdr:colOff>
      <xdr:row>10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345C58-006F-4626-AD27-C9FFA455FB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7" y="1033462"/>
          <a:ext cx="567927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464344</xdr:colOff>
      <xdr:row>604</xdr:row>
      <xdr:rowOff>35719</xdr:rowOff>
    </xdr:from>
    <xdr:to>
      <xdr:col>3</xdr:col>
      <xdr:colOff>469106</xdr:colOff>
      <xdr:row>608</xdr:row>
      <xdr:rowOff>197645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1D40063-373D-4DC0-8346-115A7694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794" y="122270044"/>
          <a:ext cx="2071687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1738312</xdr:colOff>
      <xdr:row>603</xdr:row>
      <xdr:rowOff>107157</xdr:rowOff>
    </xdr:from>
    <xdr:to>
      <xdr:col>5</xdr:col>
      <xdr:colOff>588168</xdr:colOff>
      <xdr:row>609</xdr:row>
      <xdr:rowOff>111919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03582DA-B866-4A0C-A438-6C9E26BE8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512" y="122141457"/>
          <a:ext cx="2831306" cy="120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97632</xdr:colOff>
      <xdr:row>612</xdr:row>
      <xdr:rowOff>21431</xdr:rowOff>
    </xdr:from>
    <xdr:to>
      <xdr:col>3</xdr:col>
      <xdr:colOff>1021557</xdr:colOff>
      <xdr:row>620</xdr:row>
      <xdr:rowOff>90487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1E6715E-A0C2-4908-9E63-627E50D36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782" y="124694156"/>
          <a:ext cx="1809750" cy="1669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2464593</xdr:colOff>
      <xdr:row>612</xdr:row>
      <xdr:rowOff>23812</xdr:rowOff>
    </xdr:from>
    <xdr:to>
      <xdr:col>5</xdr:col>
      <xdr:colOff>669131</xdr:colOff>
      <xdr:row>621</xdr:row>
      <xdr:rowOff>83344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3A447F5-372D-4222-AEEE-CD51CC19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3618" y="124696537"/>
          <a:ext cx="2185988" cy="185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407194</xdr:colOff>
      <xdr:row>612</xdr:row>
      <xdr:rowOff>152400</xdr:rowOff>
    </xdr:from>
    <xdr:to>
      <xdr:col>11</xdr:col>
      <xdr:colOff>140494</xdr:colOff>
      <xdr:row>620</xdr:row>
      <xdr:rowOff>33337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7818216-BE3E-45AE-AB73-5C3F922A8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1094" y="125263275"/>
          <a:ext cx="2009775" cy="1481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1035844</xdr:colOff>
      <xdr:row>602</xdr:row>
      <xdr:rowOff>142874</xdr:rowOff>
    </xdr:from>
    <xdr:to>
      <xdr:col>11</xdr:col>
      <xdr:colOff>429511</xdr:colOff>
      <xdr:row>609</xdr:row>
      <xdr:rowOff>141919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875677-3C97-4ED2-80E1-78A639D93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5819" y="125234699"/>
          <a:ext cx="1670142" cy="139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64295</xdr:colOff>
      <xdr:row>3</xdr:row>
      <xdr:rowOff>71437</xdr:rowOff>
    </xdr:from>
    <xdr:to>
      <xdr:col>4</xdr:col>
      <xdr:colOff>2919412</xdr:colOff>
      <xdr:row>8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5" y="642937"/>
          <a:ext cx="5674517" cy="976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275</xdr:row>
      <xdr:rowOff>147637</xdr:rowOff>
    </xdr:from>
    <xdr:to>
      <xdr:col>3</xdr:col>
      <xdr:colOff>433386</xdr:colOff>
      <xdr:row>284</xdr:row>
      <xdr:rowOff>114299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6" y="74890312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647700</xdr:colOff>
      <xdr:row>276</xdr:row>
      <xdr:rowOff>142875</xdr:rowOff>
    </xdr:from>
    <xdr:to>
      <xdr:col>11</xdr:col>
      <xdr:colOff>261937</xdr:colOff>
      <xdr:row>284</xdr:row>
      <xdr:rowOff>111918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5085575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1340644</xdr:colOff>
      <xdr:row>275</xdr:row>
      <xdr:rowOff>147638</xdr:rowOff>
    </xdr:from>
    <xdr:to>
      <xdr:col>5</xdr:col>
      <xdr:colOff>514351</xdr:colOff>
      <xdr:row>285</xdr:row>
      <xdr:rowOff>104776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344" y="74890313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750094</xdr:colOff>
      <xdr:row>267</xdr:row>
      <xdr:rowOff>35718</xdr:rowOff>
    </xdr:from>
    <xdr:to>
      <xdr:col>4</xdr:col>
      <xdr:colOff>564356</xdr:colOff>
      <xdr:row>271</xdr:row>
      <xdr:rowOff>266699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ECF5C47-DA0A-49D5-AF99-A82B27BB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9272943"/>
          <a:ext cx="3386137" cy="116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267</xdr:row>
      <xdr:rowOff>107157</xdr:rowOff>
    </xdr:from>
    <xdr:to>
      <xdr:col>5</xdr:col>
      <xdr:colOff>852488</xdr:colOff>
      <xdr:row>271</xdr:row>
      <xdr:rowOff>185739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A6AE870-9F33-4A68-B7F8-6F895C3B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8763" y="69344382"/>
          <a:ext cx="2419350" cy="1012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740568</xdr:colOff>
      <xdr:row>268</xdr:row>
      <xdr:rowOff>45243</xdr:rowOff>
    </xdr:from>
    <xdr:to>
      <xdr:col>11</xdr:col>
      <xdr:colOff>19935</xdr:colOff>
      <xdr:row>272</xdr:row>
      <xdr:rowOff>306226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698F0B5-91D2-404C-A468-7EFC13EB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7043" y="73063893"/>
          <a:ext cx="1670142" cy="128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9525</xdr:rowOff>
    </xdr:from>
    <xdr:to>
      <xdr:col>3</xdr:col>
      <xdr:colOff>1265555</xdr:colOff>
      <xdr:row>8</xdr:row>
      <xdr:rowOff>190500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77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1638300</xdr:colOff>
      <xdr:row>6</xdr:row>
      <xdr:rowOff>133350</xdr:rowOff>
    </xdr:from>
    <xdr:to>
      <xdr:col>5</xdr:col>
      <xdr:colOff>152400</xdr:colOff>
      <xdr:row>8</xdr:row>
      <xdr:rowOff>189517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3716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798</xdr:row>
      <xdr:rowOff>161925</xdr:rowOff>
    </xdr:from>
    <xdr:to>
      <xdr:col>3</xdr:col>
      <xdr:colOff>863600</xdr:colOff>
      <xdr:row>802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0FE4F6E-3B76-4D5C-9CDD-DA8866911FC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4000200"/>
          <a:ext cx="30353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485775</xdr:colOff>
      <xdr:row>797</xdr:row>
      <xdr:rowOff>152400</xdr:rowOff>
    </xdr:from>
    <xdr:to>
      <xdr:col>4</xdr:col>
      <xdr:colOff>1581150</xdr:colOff>
      <xdr:row>802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CDFCCA3-589C-460D-8201-6BDC14802C27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6743700" y="1528857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1266837</xdr:colOff>
      <xdr:row>798</xdr:row>
      <xdr:rowOff>19050</xdr:rowOff>
    </xdr:from>
    <xdr:to>
      <xdr:col>4</xdr:col>
      <xdr:colOff>137807</xdr:colOff>
      <xdr:row>807</xdr:row>
      <xdr:rowOff>27941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E41F2CA-2B4D-4AFA-98C6-0C69F9C4C732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250701" y="153635711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TADO%20DE%20CAMBIO%20ACTIVO%20NETO%20SOBRE%20PATRIMONIO%20ENERO%20DICIEMBRE%202023%20(M).xlsx" TargetMode="External"/><Relationship Id="rId1" Type="http://schemas.openxmlformats.org/officeDocument/2006/relationships/externalLinkPath" Target="ESTADO%20DE%20CAMBIO%20ACTIVO%20NETO%20SOBRE%20PATRIMONIO%20ENERO%20DICIEMBRE%202023%20(M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CIERRE%20DIGECOG%202023\ESTADO%20DE%20FLUJO%20DE%20EFECTIVO%20ENERO%20DICIEMBRE%202023%20(M).xlsx" TargetMode="External"/><Relationship Id="rId1" Type="http://schemas.openxmlformats.org/officeDocument/2006/relationships/externalLinkPath" Target="CIERRE%20DIGECOG%202023/ESTADO%20DE%20FLUJO%20DE%20EFECTIVO%20ENERO%20DICIEMBRE%202023%20(M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NOTAS%20EXPLICATIVAS%201-21%20ESTADO%20FINANCIERO%20ENERO-DICIEMBRE%202023%20(M).xlsx" TargetMode="External"/><Relationship Id="rId1" Type="http://schemas.openxmlformats.org/officeDocument/2006/relationships/externalLinkPath" Target="NOTAS%20EXPLICATIVAS%201-21%20ESTADO%20FINANCIERO%20ENERO-DICIEMBRE%202023%20(M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TADO%20FINANCIERO%20OCTUBRE%20%202023%20(DEFINITIVO).xlsx" TargetMode="External"/><Relationship Id="rId1" Type="http://schemas.openxmlformats.org/officeDocument/2006/relationships/externalLinkPath" Target="ESTADO%20FINANCIERO%20OCTUBRE%20%202023%20(DEFINITIVO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TADO%20FINANCIERO%20ENERO-DIC-2022%20(DIGECOG).xlsx" TargetMode="External"/><Relationship Id="rId1" Type="http://schemas.openxmlformats.org/officeDocument/2006/relationships/externalLinkPath" Target="ESTADO%20FINANCIERO%20ENERO-DIC-2022%20(DIGECOG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TADO%20FINANCIERO%20ENERO%20DICIEMBRE%202023%20(DIGECOG).xlsx" TargetMode="External"/><Relationship Id="rId1" Type="http://schemas.openxmlformats.org/officeDocument/2006/relationships/externalLinkPath" Target="ESTADO%20FINANCIERO%20ENERO%20DICIEMBRE%202023%20(DIGECO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 CAMBIO"/>
      <sheetName val="Nota PPE"/>
    </sheetNames>
    <sheetDataSet>
      <sheetData sheetId="0">
        <row r="20">
          <cell r="C20">
            <v>534638142.77999997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 FLUJO"/>
      <sheetName val="Nota PPE"/>
    </sheetNames>
    <sheetDataSet>
      <sheetData sheetId="0">
        <row r="15">
          <cell r="C15">
            <v>694272620.22000003</v>
          </cell>
        </row>
        <row r="16">
          <cell r="C16">
            <v>281364610.72000003</v>
          </cell>
        </row>
        <row r="17">
          <cell r="C17">
            <v>127972746.93000001</v>
          </cell>
        </row>
        <row r="18">
          <cell r="C18">
            <v>-134018138.3</v>
          </cell>
        </row>
        <row r="19">
          <cell r="C19">
            <v>-534965926.54400003</v>
          </cell>
        </row>
        <row r="20">
          <cell r="C20">
            <v>-46386515.619999997</v>
          </cell>
        </row>
        <row r="21">
          <cell r="C21">
            <v>-281673390.38</v>
          </cell>
        </row>
        <row r="22">
          <cell r="C22">
            <v>-78917765.030000001</v>
          </cell>
        </row>
        <row r="32">
          <cell r="C32">
            <v>53392458.969999999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Exp. E. F.=1-21"/>
      <sheetName val="Nota PPE"/>
    </sheetNames>
    <sheetDataSet>
      <sheetData sheetId="0">
        <row r="459">
          <cell r="D459">
            <v>143085672.22</v>
          </cell>
          <cell r="F459">
            <v>2729227.82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"/>
      <sheetName val="ESTADO DE REND."/>
      <sheetName val="EST. CAMBIO"/>
      <sheetName val="EST. FLUJO"/>
      <sheetName val="EST. COMP."/>
      <sheetName val="Notas E. F=1-6"/>
      <sheetName val="NOTAS ojo 7-21"/>
      <sheetName val="Inv. Medicamentos"/>
      <sheetName val="Inv. Materiales Gastables"/>
      <sheetName val="Nota PPE"/>
      <sheetName val="CUENTAS POR PAGAR OCT-2023"/>
      <sheetName val="NOTAS (2)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51">
          <cell r="C151">
            <v>-2037942.15</v>
          </cell>
          <cell r="D151">
            <v>-283037.82</v>
          </cell>
          <cell r="E151">
            <v>-3233.48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E. F=1-6"/>
      <sheetName val="Nota PPE"/>
      <sheetName val="EST. CAMBIO"/>
      <sheetName val="ESTADO DE REND."/>
      <sheetName val="Notas 7-21"/>
      <sheetName val="FLUJO EFECTIVO"/>
      <sheetName val="BALANCE GENERAL"/>
      <sheetName val="EST. COMP."/>
      <sheetName val="INV. MEDICAMENTOS"/>
      <sheetName val="INV. MAT-GASTABLE"/>
      <sheetName val="CUENTAS POR PAGAR"/>
    </sheetNames>
    <sheetDataSet>
      <sheetData sheetId="0"/>
      <sheetData sheetId="1"/>
      <sheetData sheetId="2"/>
      <sheetData sheetId="3"/>
      <sheetData sheetId="4">
        <row r="11">
          <cell r="C11">
            <v>50786877.350000001</v>
          </cell>
        </row>
        <row r="275">
          <cell r="C275">
            <v>0</v>
          </cell>
        </row>
        <row r="284">
          <cell r="C284">
            <v>0</v>
          </cell>
        </row>
        <row r="324">
          <cell r="C324">
            <v>0</v>
          </cell>
        </row>
        <row r="357">
          <cell r="C357">
            <v>34139.49</v>
          </cell>
        </row>
        <row r="358">
          <cell r="C358">
            <v>248898.33000000002</v>
          </cell>
        </row>
        <row r="359">
          <cell r="C359">
            <v>3233.48</v>
          </cell>
        </row>
        <row r="360">
          <cell r="C360">
            <v>175891.81000000003</v>
          </cell>
        </row>
        <row r="361">
          <cell r="C361">
            <v>1862050.3399999999</v>
          </cell>
        </row>
        <row r="381">
          <cell r="C381">
            <v>4068701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"/>
      <sheetName val="ESTADO DE REND."/>
      <sheetName val="EST. CAMBIO"/>
      <sheetName val="EST. FLUJO"/>
      <sheetName val="EST. COMP."/>
      <sheetName val="Notas E. F. 1-6"/>
      <sheetName val="Gráfico17"/>
      <sheetName val="NOTAS ojo 7-21"/>
      <sheetName val="Inv. Medicamentos"/>
      <sheetName val="Inv. Materiales Gastables"/>
      <sheetName val="Nota PPE"/>
      <sheetName val="CUENTAS  POR PAGAR"/>
      <sheetName val="NOTAS (2)"/>
      <sheetName val="RESUMEN INGRESOS Y EGRESOS 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>
        <row r="74">
          <cell r="G74">
            <v>112013111.06999999</v>
          </cell>
        </row>
        <row r="194">
          <cell r="G194">
            <v>1776812.59</v>
          </cell>
        </row>
        <row r="195">
          <cell r="G195">
            <v>1779318.75</v>
          </cell>
        </row>
        <row r="196">
          <cell r="G196">
            <v>289143.62</v>
          </cell>
        </row>
        <row r="239">
          <cell r="G239">
            <v>13187.54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3624.91</v>
          </cell>
        </row>
        <row r="243">
          <cell r="G243">
            <v>327000</v>
          </cell>
        </row>
        <row r="244">
          <cell r="G244">
            <v>439863</v>
          </cell>
        </row>
        <row r="245">
          <cell r="G245">
            <v>1903582.21</v>
          </cell>
        </row>
        <row r="246">
          <cell r="G246">
            <v>1267594.5</v>
          </cell>
        </row>
        <row r="247">
          <cell r="G247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514"/>
  <sheetViews>
    <sheetView tabSelected="1" topLeftCell="A30" zoomScale="110" zoomScaleNormal="110" workbookViewId="0">
      <selection activeCell="E54" sqref="E54"/>
    </sheetView>
  </sheetViews>
  <sheetFormatPr baseColWidth="10" defaultColWidth="9.140625" defaultRowHeight="12.75" x14ac:dyDescent="0.25"/>
  <cols>
    <col min="1" max="1" width="4.5703125" style="74" customWidth="1"/>
    <col min="2" max="2" width="51.28515625" style="77" customWidth="1"/>
    <col min="3" max="4" width="21.140625" style="74" customWidth="1"/>
    <col min="5" max="5" width="16.140625" style="74" customWidth="1"/>
    <col min="6" max="6" width="16.7109375" style="74" customWidth="1"/>
    <col min="7" max="8" width="16.5703125" style="74" bestFit="1" customWidth="1"/>
    <col min="9" max="9" width="14.42578125" style="74" bestFit="1" customWidth="1"/>
    <col min="10" max="10" width="9.140625" style="74"/>
    <col min="11" max="11" width="15.42578125" style="74" bestFit="1" customWidth="1"/>
    <col min="12" max="254" width="9.140625" style="74"/>
    <col min="255" max="255" width="5.28515625" style="74" customWidth="1"/>
    <col min="256" max="256" width="48.42578125" style="74" customWidth="1"/>
    <col min="257" max="257" width="33.7109375" style="74" customWidth="1"/>
    <col min="258" max="258" width="9.140625" style="74"/>
    <col min="259" max="259" width="13.7109375" style="74" bestFit="1" customWidth="1"/>
    <col min="260" max="510" width="9.140625" style="74"/>
    <col min="511" max="511" width="5.28515625" style="74" customWidth="1"/>
    <col min="512" max="512" width="48.42578125" style="74" customWidth="1"/>
    <col min="513" max="513" width="33.7109375" style="74" customWidth="1"/>
    <col min="514" max="514" width="9.140625" style="74"/>
    <col min="515" max="515" width="13.7109375" style="74" bestFit="1" customWidth="1"/>
    <col min="516" max="766" width="9.140625" style="74"/>
    <col min="767" max="767" width="5.28515625" style="74" customWidth="1"/>
    <col min="768" max="768" width="48.42578125" style="74" customWidth="1"/>
    <col min="769" max="769" width="33.7109375" style="74" customWidth="1"/>
    <col min="770" max="770" width="9.140625" style="74"/>
    <col min="771" max="771" width="13.7109375" style="74" bestFit="1" customWidth="1"/>
    <col min="772" max="1022" width="9.140625" style="74"/>
    <col min="1023" max="1023" width="5.28515625" style="74" customWidth="1"/>
    <col min="1024" max="1024" width="48.42578125" style="74" customWidth="1"/>
    <col min="1025" max="1025" width="33.7109375" style="74" customWidth="1"/>
    <col min="1026" max="1026" width="9.140625" style="74"/>
    <col min="1027" max="1027" width="13.7109375" style="74" bestFit="1" customWidth="1"/>
    <col min="1028" max="1278" width="9.140625" style="74"/>
    <col min="1279" max="1279" width="5.28515625" style="74" customWidth="1"/>
    <col min="1280" max="1280" width="48.42578125" style="74" customWidth="1"/>
    <col min="1281" max="1281" width="33.7109375" style="74" customWidth="1"/>
    <col min="1282" max="1282" width="9.140625" style="74"/>
    <col min="1283" max="1283" width="13.7109375" style="74" bestFit="1" customWidth="1"/>
    <col min="1284" max="1534" width="9.140625" style="74"/>
    <col min="1535" max="1535" width="5.28515625" style="74" customWidth="1"/>
    <col min="1536" max="1536" width="48.42578125" style="74" customWidth="1"/>
    <col min="1537" max="1537" width="33.7109375" style="74" customWidth="1"/>
    <col min="1538" max="1538" width="9.140625" style="74"/>
    <col min="1539" max="1539" width="13.7109375" style="74" bestFit="1" customWidth="1"/>
    <col min="1540" max="1790" width="9.140625" style="74"/>
    <col min="1791" max="1791" width="5.28515625" style="74" customWidth="1"/>
    <col min="1792" max="1792" width="48.42578125" style="74" customWidth="1"/>
    <col min="1793" max="1793" width="33.7109375" style="74" customWidth="1"/>
    <col min="1794" max="1794" width="9.140625" style="74"/>
    <col min="1795" max="1795" width="13.7109375" style="74" bestFit="1" customWidth="1"/>
    <col min="1796" max="2046" width="9.140625" style="74"/>
    <col min="2047" max="2047" width="5.28515625" style="74" customWidth="1"/>
    <col min="2048" max="2048" width="48.42578125" style="74" customWidth="1"/>
    <col min="2049" max="2049" width="33.7109375" style="74" customWidth="1"/>
    <col min="2050" max="2050" width="9.140625" style="74"/>
    <col min="2051" max="2051" width="13.7109375" style="74" bestFit="1" customWidth="1"/>
    <col min="2052" max="2302" width="9.140625" style="74"/>
    <col min="2303" max="2303" width="5.28515625" style="74" customWidth="1"/>
    <col min="2304" max="2304" width="48.42578125" style="74" customWidth="1"/>
    <col min="2305" max="2305" width="33.7109375" style="74" customWidth="1"/>
    <col min="2306" max="2306" width="9.140625" style="74"/>
    <col min="2307" max="2307" width="13.7109375" style="74" bestFit="1" customWidth="1"/>
    <col min="2308" max="2558" width="9.140625" style="74"/>
    <col min="2559" max="2559" width="5.28515625" style="74" customWidth="1"/>
    <col min="2560" max="2560" width="48.42578125" style="74" customWidth="1"/>
    <col min="2561" max="2561" width="33.7109375" style="74" customWidth="1"/>
    <col min="2562" max="2562" width="9.140625" style="74"/>
    <col min="2563" max="2563" width="13.7109375" style="74" bestFit="1" customWidth="1"/>
    <col min="2564" max="2814" width="9.140625" style="74"/>
    <col min="2815" max="2815" width="5.28515625" style="74" customWidth="1"/>
    <col min="2816" max="2816" width="48.42578125" style="74" customWidth="1"/>
    <col min="2817" max="2817" width="33.7109375" style="74" customWidth="1"/>
    <col min="2818" max="2818" width="9.140625" style="74"/>
    <col min="2819" max="2819" width="13.7109375" style="74" bestFit="1" customWidth="1"/>
    <col min="2820" max="3070" width="9.140625" style="74"/>
    <col min="3071" max="3071" width="5.28515625" style="74" customWidth="1"/>
    <col min="3072" max="3072" width="48.42578125" style="74" customWidth="1"/>
    <col min="3073" max="3073" width="33.7109375" style="74" customWidth="1"/>
    <col min="3074" max="3074" width="9.140625" style="74"/>
    <col min="3075" max="3075" width="13.7109375" style="74" bestFit="1" customWidth="1"/>
    <col min="3076" max="3326" width="9.140625" style="74"/>
    <col min="3327" max="3327" width="5.28515625" style="74" customWidth="1"/>
    <col min="3328" max="3328" width="48.42578125" style="74" customWidth="1"/>
    <col min="3329" max="3329" width="33.7109375" style="74" customWidth="1"/>
    <col min="3330" max="3330" width="9.140625" style="74"/>
    <col min="3331" max="3331" width="13.7109375" style="74" bestFit="1" customWidth="1"/>
    <col min="3332" max="3582" width="9.140625" style="74"/>
    <col min="3583" max="3583" width="5.28515625" style="74" customWidth="1"/>
    <col min="3584" max="3584" width="48.42578125" style="74" customWidth="1"/>
    <col min="3585" max="3585" width="33.7109375" style="74" customWidth="1"/>
    <col min="3586" max="3586" width="9.140625" style="74"/>
    <col min="3587" max="3587" width="13.7109375" style="74" bestFit="1" customWidth="1"/>
    <col min="3588" max="3838" width="9.140625" style="74"/>
    <col min="3839" max="3839" width="5.28515625" style="74" customWidth="1"/>
    <col min="3840" max="3840" width="48.42578125" style="74" customWidth="1"/>
    <col min="3841" max="3841" width="33.7109375" style="74" customWidth="1"/>
    <col min="3842" max="3842" width="9.140625" style="74"/>
    <col min="3843" max="3843" width="13.7109375" style="74" bestFit="1" customWidth="1"/>
    <col min="3844" max="4094" width="9.140625" style="74"/>
    <col min="4095" max="4095" width="5.28515625" style="74" customWidth="1"/>
    <col min="4096" max="4096" width="48.42578125" style="74" customWidth="1"/>
    <col min="4097" max="4097" width="33.7109375" style="74" customWidth="1"/>
    <col min="4098" max="4098" width="9.140625" style="74"/>
    <col min="4099" max="4099" width="13.7109375" style="74" bestFit="1" customWidth="1"/>
    <col min="4100" max="4350" width="9.140625" style="74"/>
    <col min="4351" max="4351" width="5.28515625" style="74" customWidth="1"/>
    <col min="4352" max="4352" width="48.42578125" style="74" customWidth="1"/>
    <col min="4353" max="4353" width="33.7109375" style="74" customWidth="1"/>
    <col min="4354" max="4354" width="9.140625" style="74"/>
    <col min="4355" max="4355" width="13.7109375" style="74" bestFit="1" customWidth="1"/>
    <col min="4356" max="4606" width="9.140625" style="74"/>
    <col min="4607" max="4607" width="5.28515625" style="74" customWidth="1"/>
    <col min="4608" max="4608" width="48.42578125" style="74" customWidth="1"/>
    <col min="4609" max="4609" width="33.7109375" style="74" customWidth="1"/>
    <col min="4610" max="4610" width="9.140625" style="74"/>
    <col min="4611" max="4611" width="13.7109375" style="74" bestFit="1" customWidth="1"/>
    <col min="4612" max="4862" width="9.140625" style="74"/>
    <col min="4863" max="4863" width="5.28515625" style="74" customWidth="1"/>
    <col min="4864" max="4864" width="48.42578125" style="74" customWidth="1"/>
    <col min="4865" max="4865" width="33.7109375" style="74" customWidth="1"/>
    <col min="4866" max="4866" width="9.140625" style="74"/>
    <col min="4867" max="4867" width="13.7109375" style="74" bestFit="1" customWidth="1"/>
    <col min="4868" max="5118" width="9.140625" style="74"/>
    <col min="5119" max="5119" width="5.28515625" style="74" customWidth="1"/>
    <col min="5120" max="5120" width="48.42578125" style="74" customWidth="1"/>
    <col min="5121" max="5121" width="33.7109375" style="74" customWidth="1"/>
    <col min="5122" max="5122" width="9.140625" style="74"/>
    <col min="5123" max="5123" width="13.7109375" style="74" bestFit="1" customWidth="1"/>
    <col min="5124" max="5374" width="9.140625" style="74"/>
    <col min="5375" max="5375" width="5.28515625" style="74" customWidth="1"/>
    <col min="5376" max="5376" width="48.42578125" style="74" customWidth="1"/>
    <col min="5377" max="5377" width="33.7109375" style="74" customWidth="1"/>
    <col min="5378" max="5378" width="9.140625" style="74"/>
    <col min="5379" max="5379" width="13.7109375" style="74" bestFit="1" customWidth="1"/>
    <col min="5380" max="5630" width="9.140625" style="74"/>
    <col min="5631" max="5631" width="5.28515625" style="74" customWidth="1"/>
    <col min="5632" max="5632" width="48.42578125" style="74" customWidth="1"/>
    <col min="5633" max="5633" width="33.7109375" style="74" customWidth="1"/>
    <col min="5634" max="5634" width="9.140625" style="74"/>
    <col min="5635" max="5635" width="13.7109375" style="74" bestFit="1" customWidth="1"/>
    <col min="5636" max="5886" width="9.140625" style="74"/>
    <col min="5887" max="5887" width="5.28515625" style="74" customWidth="1"/>
    <col min="5888" max="5888" width="48.42578125" style="74" customWidth="1"/>
    <col min="5889" max="5889" width="33.7109375" style="74" customWidth="1"/>
    <col min="5890" max="5890" width="9.140625" style="74"/>
    <col min="5891" max="5891" width="13.7109375" style="74" bestFit="1" customWidth="1"/>
    <col min="5892" max="6142" width="9.140625" style="74"/>
    <col min="6143" max="6143" width="5.28515625" style="74" customWidth="1"/>
    <col min="6144" max="6144" width="48.42578125" style="74" customWidth="1"/>
    <col min="6145" max="6145" width="33.7109375" style="74" customWidth="1"/>
    <col min="6146" max="6146" width="9.140625" style="74"/>
    <col min="6147" max="6147" width="13.7109375" style="74" bestFit="1" customWidth="1"/>
    <col min="6148" max="6398" width="9.140625" style="74"/>
    <col min="6399" max="6399" width="5.28515625" style="74" customWidth="1"/>
    <col min="6400" max="6400" width="48.42578125" style="74" customWidth="1"/>
    <col min="6401" max="6401" width="33.7109375" style="74" customWidth="1"/>
    <col min="6402" max="6402" width="9.140625" style="74"/>
    <col min="6403" max="6403" width="13.7109375" style="74" bestFit="1" customWidth="1"/>
    <col min="6404" max="6654" width="9.140625" style="74"/>
    <col min="6655" max="6655" width="5.28515625" style="74" customWidth="1"/>
    <col min="6656" max="6656" width="48.42578125" style="74" customWidth="1"/>
    <col min="6657" max="6657" width="33.7109375" style="74" customWidth="1"/>
    <col min="6658" max="6658" width="9.140625" style="74"/>
    <col min="6659" max="6659" width="13.7109375" style="74" bestFit="1" customWidth="1"/>
    <col min="6660" max="6910" width="9.140625" style="74"/>
    <col min="6911" max="6911" width="5.28515625" style="74" customWidth="1"/>
    <col min="6912" max="6912" width="48.42578125" style="74" customWidth="1"/>
    <col min="6913" max="6913" width="33.7109375" style="74" customWidth="1"/>
    <col min="6914" max="6914" width="9.140625" style="74"/>
    <col min="6915" max="6915" width="13.7109375" style="74" bestFit="1" customWidth="1"/>
    <col min="6916" max="7166" width="9.140625" style="74"/>
    <col min="7167" max="7167" width="5.28515625" style="74" customWidth="1"/>
    <col min="7168" max="7168" width="48.42578125" style="74" customWidth="1"/>
    <col min="7169" max="7169" width="33.7109375" style="74" customWidth="1"/>
    <col min="7170" max="7170" width="9.140625" style="74"/>
    <col min="7171" max="7171" width="13.7109375" style="74" bestFit="1" customWidth="1"/>
    <col min="7172" max="7422" width="9.140625" style="74"/>
    <col min="7423" max="7423" width="5.28515625" style="74" customWidth="1"/>
    <col min="7424" max="7424" width="48.42578125" style="74" customWidth="1"/>
    <col min="7425" max="7425" width="33.7109375" style="74" customWidth="1"/>
    <col min="7426" max="7426" width="9.140625" style="74"/>
    <col min="7427" max="7427" width="13.7109375" style="74" bestFit="1" customWidth="1"/>
    <col min="7428" max="7678" width="9.140625" style="74"/>
    <col min="7679" max="7679" width="5.28515625" style="74" customWidth="1"/>
    <col min="7680" max="7680" width="48.42578125" style="74" customWidth="1"/>
    <col min="7681" max="7681" width="33.7109375" style="74" customWidth="1"/>
    <col min="7682" max="7682" width="9.140625" style="74"/>
    <col min="7683" max="7683" width="13.7109375" style="74" bestFit="1" customWidth="1"/>
    <col min="7684" max="7934" width="9.140625" style="74"/>
    <col min="7935" max="7935" width="5.28515625" style="74" customWidth="1"/>
    <col min="7936" max="7936" width="48.42578125" style="74" customWidth="1"/>
    <col min="7937" max="7937" width="33.7109375" style="74" customWidth="1"/>
    <col min="7938" max="7938" width="9.140625" style="74"/>
    <col min="7939" max="7939" width="13.7109375" style="74" bestFit="1" customWidth="1"/>
    <col min="7940" max="8190" width="9.140625" style="74"/>
    <col min="8191" max="8191" width="5.28515625" style="74" customWidth="1"/>
    <col min="8192" max="8192" width="48.42578125" style="74" customWidth="1"/>
    <col min="8193" max="8193" width="33.7109375" style="74" customWidth="1"/>
    <col min="8194" max="8194" width="9.140625" style="74"/>
    <col min="8195" max="8195" width="13.7109375" style="74" bestFit="1" customWidth="1"/>
    <col min="8196" max="8446" width="9.140625" style="74"/>
    <col min="8447" max="8447" width="5.28515625" style="74" customWidth="1"/>
    <col min="8448" max="8448" width="48.42578125" style="74" customWidth="1"/>
    <col min="8449" max="8449" width="33.7109375" style="74" customWidth="1"/>
    <col min="8450" max="8450" width="9.140625" style="74"/>
    <col min="8451" max="8451" width="13.7109375" style="74" bestFit="1" customWidth="1"/>
    <col min="8452" max="8702" width="9.140625" style="74"/>
    <col min="8703" max="8703" width="5.28515625" style="74" customWidth="1"/>
    <col min="8704" max="8704" width="48.42578125" style="74" customWidth="1"/>
    <col min="8705" max="8705" width="33.7109375" style="74" customWidth="1"/>
    <col min="8706" max="8706" width="9.140625" style="74"/>
    <col min="8707" max="8707" width="13.7109375" style="74" bestFit="1" customWidth="1"/>
    <col min="8708" max="8958" width="9.140625" style="74"/>
    <col min="8959" max="8959" width="5.28515625" style="74" customWidth="1"/>
    <col min="8960" max="8960" width="48.42578125" style="74" customWidth="1"/>
    <col min="8961" max="8961" width="33.7109375" style="74" customWidth="1"/>
    <col min="8962" max="8962" width="9.140625" style="74"/>
    <col min="8963" max="8963" width="13.7109375" style="74" bestFit="1" customWidth="1"/>
    <col min="8964" max="9214" width="9.140625" style="74"/>
    <col min="9215" max="9215" width="5.28515625" style="74" customWidth="1"/>
    <col min="9216" max="9216" width="48.42578125" style="74" customWidth="1"/>
    <col min="9217" max="9217" width="33.7109375" style="74" customWidth="1"/>
    <col min="9218" max="9218" width="9.140625" style="74"/>
    <col min="9219" max="9219" width="13.7109375" style="74" bestFit="1" customWidth="1"/>
    <col min="9220" max="9470" width="9.140625" style="74"/>
    <col min="9471" max="9471" width="5.28515625" style="74" customWidth="1"/>
    <col min="9472" max="9472" width="48.42578125" style="74" customWidth="1"/>
    <col min="9473" max="9473" width="33.7109375" style="74" customWidth="1"/>
    <col min="9474" max="9474" width="9.140625" style="74"/>
    <col min="9475" max="9475" width="13.7109375" style="74" bestFit="1" customWidth="1"/>
    <col min="9476" max="9726" width="9.140625" style="74"/>
    <col min="9727" max="9727" width="5.28515625" style="74" customWidth="1"/>
    <col min="9728" max="9728" width="48.42578125" style="74" customWidth="1"/>
    <col min="9729" max="9729" width="33.7109375" style="74" customWidth="1"/>
    <col min="9730" max="9730" width="9.140625" style="74"/>
    <col min="9731" max="9731" width="13.7109375" style="74" bestFit="1" customWidth="1"/>
    <col min="9732" max="9982" width="9.140625" style="74"/>
    <col min="9983" max="9983" width="5.28515625" style="74" customWidth="1"/>
    <col min="9984" max="9984" width="48.42578125" style="74" customWidth="1"/>
    <col min="9985" max="9985" width="33.7109375" style="74" customWidth="1"/>
    <col min="9986" max="9986" width="9.140625" style="74"/>
    <col min="9987" max="9987" width="13.7109375" style="74" bestFit="1" customWidth="1"/>
    <col min="9988" max="10238" width="9.140625" style="74"/>
    <col min="10239" max="10239" width="5.28515625" style="74" customWidth="1"/>
    <col min="10240" max="10240" width="48.42578125" style="74" customWidth="1"/>
    <col min="10241" max="10241" width="33.7109375" style="74" customWidth="1"/>
    <col min="10242" max="10242" width="9.140625" style="74"/>
    <col min="10243" max="10243" width="13.7109375" style="74" bestFit="1" customWidth="1"/>
    <col min="10244" max="10494" width="9.140625" style="74"/>
    <col min="10495" max="10495" width="5.28515625" style="74" customWidth="1"/>
    <col min="10496" max="10496" width="48.42578125" style="74" customWidth="1"/>
    <col min="10497" max="10497" width="33.7109375" style="74" customWidth="1"/>
    <col min="10498" max="10498" width="9.140625" style="74"/>
    <col min="10499" max="10499" width="13.7109375" style="74" bestFit="1" customWidth="1"/>
    <col min="10500" max="10750" width="9.140625" style="74"/>
    <col min="10751" max="10751" width="5.28515625" style="74" customWidth="1"/>
    <col min="10752" max="10752" width="48.42578125" style="74" customWidth="1"/>
    <col min="10753" max="10753" width="33.7109375" style="74" customWidth="1"/>
    <col min="10754" max="10754" width="9.140625" style="74"/>
    <col min="10755" max="10755" width="13.7109375" style="74" bestFit="1" customWidth="1"/>
    <col min="10756" max="11006" width="9.140625" style="74"/>
    <col min="11007" max="11007" width="5.28515625" style="74" customWidth="1"/>
    <col min="11008" max="11008" width="48.42578125" style="74" customWidth="1"/>
    <col min="11009" max="11009" width="33.7109375" style="74" customWidth="1"/>
    <col min="11010" max="11010" width="9.140625" style="74"/>
    <col min="11011" max="11011" width="13.7109375" style="74" bestFit="1" customWidth="1"/>
    <col min="11012" max="11262" width="9.140625" style="74"/>
    <col min="11263" max="11263" width="5.28515625" style="74" customWidth="1"/>
    <col min="11264" max="11264" width="48.42578125" style="74" customWidth="1"/>
    <col min="11265" max="11265" width="33.7109375" style="74" customWidth="1"/>
    <col min="11266" max="11266" width="9.140625" style="74"/>
    <col min="11267" max="11267" width="13.7109375" style="74" bestFit="1" customWidth="1"/>
    <col min="11268" max="11518" width="9.140625" style="74"/>
    <col min="11519" max="11519" width="5.28515625" style="74" customWidth="1"/>
    <col min="11520" max="11520" width="48.42578125" style="74" customWidth="1"/>
    <col min="11521" max="11521" width="33.7109375" style="74" customWidth="1"/>
    <col min="11522" max="11522" width="9.140625" style="74"/>
    <col min="11523" max="11523" width="13.7109375" style="74" bestFit="1" customWidth="1"/>
    <col min="11524" max="11774" width="9.140625" style="74"/>
    <col min="11775" max="11775" width="5.28515625" style="74" customWidth="1"/>
    <col min="11776" max="11776" width="48.42578125" style="74" customWidth="1"/>
    <col min="11777" max="11777" width="33.7109375" style="74" customWidth="1"/>
    <col min="11778" max="11778" width="9.140625" style="74"/>
    <col min="11779" max="11779" width="13.7109375" style="74" bestFit="1" customWidth="1"/>
    <col min="11780" max="12030" width="9.140625" style="74"/>
    <col min="12031" max="12031" width="5.28515625" style="74" customWidth="1"/>
    <col min="12032" max="12032" width="48.42578125" style="74" customWidth="1"/>
    <col min="12033" max="12033" width="33.7109375" style="74" customWidth="1"/>
    <col min="12034" max="12034" width="9.140625" style="74"/>
    <col min="12035" max="12035" width="13.7109375" style="74" bestFit="1" customWidth="1"/>
    <col min="12036" max="12286" width="9.140625" style="74"/>
    <col min="12287" max="12287" width="5.28515625" style="74" customWidth="1"/>
    <col min="12288" max="12288" width="48.42578125" style="74" customWidth="1"/>
    <col min="12289" max="12289" width="33.7109375" style="74" customWidth="1"/>
    <col min="12290" max="12290" width="9.140625" style="74"/>
    <col min="12291" max="12291" width="13.7109375" style="74" bestFit="1" customWidth="1"/>
    <col min="12292" max="12542" width="9.140625" style="74"/>
    <col min="12543" max="12543" width="5.28515625" style="74" customWidth="1"/>
    <col min="12544" max="12544" width="48.42578125" style="74" customWidth="1"/>
    <col min="12545" max="12545" width="33.7109375" style="74" customWidth="1"/>
    <col min="12546" max="12546" width="9.140625" style="74"/>
    <col min="12547" max="12547" width="13.7109375" style="74" bestFit="1" customWidth="1"/>
    <col min="12548" max="12798" width="9.140625" style="74"/>
    <col min="12799" max="12799" width="5.28515625" style="74" customWidth="1"/>
    <col min="12800" max="12800" width="48.42578125" style="74" customWidth="1"/>
    <col min="12801" max="12801" width="33.7109375" style="74" customWidth="1"/>
    <col min="12802" max="12802" width="9.140625" style="74"/>
    <col min="12803" max="12803" width="13.7109375" style="74" bestFit="1" customWidth="1"/>
    <col min="12804" max="13054" width="9.140625" style="74"/>
    <col min="13055" max="13055" width="5.28515625" style="74" customWidth="1"/>
    <col min="13056" max="13056" width="48.42578125" style="74" customWidth="1"/>
    <col min="13057" max="13057" width="33.7109375" style="74" customWidth="1"/>
    <col min="13058" max="13058" width="9.140625" style="74"/>
    <col min="13059" max="13059" width="13.7109375" style="74" bestFit="1" customWidth="1"/>
    <col min="13060" max="13310" width="9.140625" style="74"/>
    <col min="13311" max="13311" width="5.28515625" style="74" customWidth="1"/>
    <col min="13312" max="13312" width="48.42578125" style="74" customWidth="1"/>
    <col min="13313" max="13313" width="33.7109375" style="74" customWidth="1"/>
    <col min="13314" max="13314" width="9.140625" style="74"/>
    <col min="13315" max="13315" width="13.7109375" style="74" bestFit="1" customWidth="1"/>
    <col min="13316" max="13566" width="9.140625" style="74"/>
    <col min="13567" max="13567" width="5.28515625" style="74" customWidth="1"/>
    <col min="13568" max="13568" width="48.42578125" style="74" customWidth="1"/>
    <col min="13569" max="13569" width="33.7109375" style="74" customWidth="1"/>
    <col min="13570" max="13570" width="9.140625" style="74"/>
    <col min="13571" max="13571" width="13.7109375" style="74" bestFit="1" customWidth="1"/>
    <col min="13572" max="13822" width="9.140625" style="74"/>
    <col min="13823" max="13823" width="5.28515625" style="74" customWidth="1"/>
    <col min="13824" max="13824" width="48.42578125" style="74" customWidth="1"/>
    <col min="13825" max="13825" width="33.7109375" style="74" customWidth="1"/>
    <col min="13826" max="13826" width="9.140625" style="74"/>
    <col min="13827" max="13827" width="13.7109375" style="74" bestFit="1" customWidth="1"/>
    <col min="13828" max="14078" width="9.140625" style="74"/>
    <col min="14079" max="14079" width="5.28515625" style="74" customWidth="1"/>
    <col min="14080" max="14080" width="48.42578125" style="74" customWidth="1"/>
    <col min="14081" max="14081" width="33.7109375" style="74" customWidth="1"/>
    <col min="14082" max="14082" width="9.140625" style="74"/>
    <col min="14083" max="14083" width="13.7109375" style="74" bestFit="1" customWidth="1"/>
    <col min="14084" max="14334" width="9.140625" style="74"/>
    <col min="14335" max="14335" width="5.28515625" style="74" customWidth="1"/>
    <col min="14336" max="14336" width="48.42578125" style="74" customWidth="1"/>
    <col min="14337" max="14337" width="33.7109375" style="74" customWidth="1"/>
    <col min="14338" max="14338" width="9.140625" style="74"/>
    <col min="14339" max="14339" width="13.7109375" style="74" bestFit="1" customWidth="1"/>
    <col min="14340" max="14590" width="9.140625" style="74"/>
    <col min="14591" max="14591" width="5.28515625" style="74" customWidth="1"/>
    <col min="14592" max="14592" width="48.42578125" style="74" customWidth="1"/>
    <col min="14593" max="14593" width="33.7109375" style="74" customWidth="1"/>
    <col min="14594" max="14594" width="9.140625" style="74"/>
    <col min="14595" max="14595" width="13.7109375" style="74" bestFit="1" customWidth="1"/>
    <col min="14596" max="14846" width="9.140625" style="74"/>
    <col min="14847" max="14847" width="5.28515625" style="74" customWidth="1"/>
    <col min="14848" max="14848" width="48.42578125" style="74" customWidth="1"/>
    <col min="14849" max="14849" width="33.7109375" style="74" customWidth="1"/>
    <col min="14850" max="14850" width="9.140625" style="74"/>
    <col min="14851" max="14851" width="13.7109375" style="74" bestFit="1" customWidth="1"/>
    <col min="14852" max="15102" width="9.140625" style="74"/>
    <col min="15103" max="15103" width="5.28515625" style="74" customWidth="1"/>
    <col min="15104" max="15104" width="48.42578125" style="74" customWidth="1"/>
    <col min="15105" max="15105" width="33.7109375" style="74" customWidth="1"/>
    <col min="15106" max="15106" width="9.140625" style="74"/>
    <col min="15107" max="15107" width="13.7109375" style="74" bestFit="1" customWidth="1"/>
    <col min="15108" max="15358" width="9.140625" style="74"/>
    <col min="15359" max="15359" width="5.28515625" style="74" customWidth="1"/>
    <col min="15360" max="15360" width="48.42578125" style="74" customWidth="1"/>
    <col min="15361" max="15361" width="33.7109375" style="74" customWidth="1"/>
    <col min="15362" max="15362" width="9.140625" style="74"/>
    <col min="15363" max="15363" width="13.7109375" style="74" bestFit="1" customWidth="1"/>
    <col min="15364" max="15614" width="9.140625" style="74"/>
    <col min="15615" max="15615" width="5.28515625" style="74" customWidth="1"/>
    <col min="15616" max="15616" width="48.42578125" style="74" customWidth="1"/>
    <col min="15617" max="15617" width="33.7109375" style="74" customWidth="1"/>
    <col min="15618" max="15618" width="9.140625" style="74"/>
    <col min="15619" max="15619" width="13.7109375" style="74" bestFit="1" customWidth="1"/>
    <col min="15620" max="15870" width="9.140625" style="74"/>
    <col min="15871" max="15871" width="5.28515625" style="74" customWidth="1"/>
    <col min="15872" max="15872" width="48.42578125" style="74" customWidth="1"/>
    <col min="15873" max="15873" width="33.7109375" style="74" customWidth="1"/>
    <col min="15874" max="15874" width="9.140625" style="74"/>
    <col min="15875" max="15875" width="13.7109375" style="74" bestFit="1" customWidth="1"/>
    <col min="15876" max="16126" width="9.140625" style="74"/>
    <col min="16127" max="16127" width="5.28515625" style="74" customWidth="1"/>
    <col min="16128" max="16128" width="48.42578125" style="74" customWidth="1"/>
    <col min="16129" max="16129" width="33.7109375" style="74" customWidth="1"/>
    <col min="16130" max="16130" width="9.140625" style="74"/>
    <col min="16131" max="16131" width="13.7109375" style="74" bestFit="1" customWidth="1"/>
    <col min="16132" max="16384" width="9.140625" style="74"/>
  </cols>
  <sheetData>
    <row r="1" spans="1:12" x14ac:dyDescent="0.25">
      <c r="A1" s="421" t="s">
        <v>2615</v>
      </c>
      <c r="B1" s="421"/>
      <c r="C1" s="421"/>
      <c r="D1" s="421"/>
      <c r="E1" s="421"/>
    </row>
    <row r="2" spans="1:12" x14ac:dyDescent="0.25">
      <c r="A2" s="422" t="s">
        <v>2608</v>
      </c>
      <c r="B2" s="422"/>
      <c r="C2" s="422"/>
      <c r="D2" s="422"/>
      <c r="E2" s="422"/>
      <c r="F2" s="182"/>
      <c r="G2" s="182"/>
      <c r="H2" s="182"/>
      <c r="I2" s="182"/>
      <c r="J2" s="182"/>
      <c r="K2" s="182"/>
      <c r="L2" s="182"/>
    </row>
    <row r="3" spans="1:12" x14ac:dyDescent="0.25">
      <c r="A3" s="418" t="s">
        <v>2609</v>
      </c>
      <c r="B3" s="418"/>
      <c r="C3" s="418"/>
      <c r="D3" s="418"/>
      <c r="E3" s="418"/>
      <c r="F3" s="182"/>
      <c r="G3" s="182"/>
      <c r="H3" s="182"/>
      <c r="I3" s="182"/>
      <c r="J3" s="182"/>
      <c r="K3" s="182"/>
      <c r="L3" s="182"/>
    </row>
    <row r="4" spans="1:12" x14ac:dyDescent="0.25">
      <c r="A4" s="183"/>
      <c r="B4" s="183"/>
      <c r="C4" s="183"/>
      <c r="D4" s="183"/>
      <c r="E4" s="183"/>
      <c r="F4" s="182"/>
      <c r="G4" s="182"/>
      <c r="H4" s="182"/>
      <c r="I4" s="182"/>
      <c r="J4" s="182"/>
      <c r="K4" s="182"/>
      <c r="L4" s="182"/>
    </row>
    <row r="5" spans="1:12" x14ac:dyDescent="0.25">
      <c r="A5" s="183"/>
      <c r="B5" s="183"/>
      <c r="C5" s="183"/>
      <c r="D5" s="183"/>
      <c r="E5" s="183"/>
      <c r="F5" s="182"/>
      <c r="G5" s="182"/>
      <c r="H5" s="182"/>
      <c r="I5" s="182"/>
      <c r="J5" s="182"/>
      <c r="K5" s="182"/>
      <c r="L5" s="182"/>
    </row>
    <row r="6" spans="1:12" x14ac:dyDescent="0.25">
      <c r="A6" s="183"/>
      <c r="B6" s="183"/>
      <c r="C6" s="183"/>
      <c r="D6" s="183"/>
      <c r="E6" s="183"/>
      <c r="F6" s="182"/>
      <c r="G6" s="182"/>
      <c r="H6" s="182"/>
      <c r="I6" s="182"/>
      <c r="J6" s="182"/>
      <c r="K6" s="182"/>
      <c r="L6" s="182"/>
    </row>
    <row r="7" spans="1:12" x14ac:dyDescent="0.25">
      <c r="A7" s="183"/>
      <c r="B7" s="183"/>
      <c r="C7" s="183"/>
      <c r="D7" s="183"/>
      <c r="E7" s="183"/>
      <c r="F7" s="182"/>
      <c r="G7" s="182"/>
      <c r="H7" s="182"/>
      <c r="I7" s="182"/>
      <c r="J7" s="182"/>
      <c r="K7" s="182"/>
      <c r="L7" s="182"/>
    </row>
    <row r="8" spans="1:12" x14ac:dyDescent="0.25">
      <c r="A8" s="183"/>
      <c r="B8" s="183"/>
      <c r="C8" s="183"/>
      <c r="D8" s="183"/>
      <c r="E8" s="183"/>
      <c r="F8" s="182"/>
      <c r="G8" s="182"/>
      <c r="H8" s="182"/>
      <c r="I8" s="182"/>
      <c r="J8" s="182"/>
      <c r="K8" s="182"/>
      <c r="L8" s="182"/>
    </row>
    <row r="9" spans="1:12" x14ac:dyDescent="0.25">
      <c r="A9" s="418" t="s">
        <v>2610</v>
      </c>
      <c r="B9" s="418"/>
      <c r="C9" s="418"/>
      <c r="D9" s="418"/>
      <c r="E9" s="418"/>
      <c r="F9" s="182"/>
      <c r="G9" s="182"/>
      <c r="H9" s="182"/>
      <c r="I9" s="182"/>
      <c r="J9" s="182"/>
      <c r="K9" s="182"/>
      <c r="L9" s="182"/>
    </row>
    <row r="10" spans="1:12" x14ac:dyDescent="0.25">
      <c r="A10" s="418" t="s">
        <v>2611</v>
      </c>
      <c r="B10" s="418"/>
      <c r="C10" s="418"/>
      <c r="D10" s="418"/>
      <c r="E10" s="418"/>
      <c r="F10" s="182"/>
      <c r="G10" s="182"/>
      <c r="H10" s="182"/>
      <c r="I10" s="182"/>
      <c r="J10" s="182"/>
      <c r="K10" s="182"/>
      <c r="L10" s="182"/>
    </row>
    <row r="11" spans="1:12" x14ac:dyDescent="0.25">
      <c r="A11" s="418" t="s">
        <v>2612</v>
      </c>
      <c r="B11" s="418"/>
      <c r="C11" s="418"/>
      <c r="D11" s="418"/>
      <c r="E11" s="418"/>
      <c r="F11" s="182"/>
      <c r="G11" s="182"/>
      <c r="H11" s="182"/>
      <c r="I11" s="182"/>
      <c r="J11" s="182"/>
      <c r="K11" s="182"/>
      <c r="L11" s="182"/>
    </row>
    <row r="12" spans="1:12" x14ac:dyDescent="0.25">
      <c r="A12" s="419"/>
      <c r="B12" s="419"/>
      <c r="C12" s="419"/>
      <c r="D12" s="419"/>
      <c r="E12" s="419"/>
      <c r="F12" s="182"/>
      <c r="G12" s="182"/>
      <c r="H12" s="182"/>
      <c r="I12" s="182"/>
      <c r="J12" s="182"/>
      <c r="K12" s="182"/>
      <c r="L12" s="182"/>
    </row>
    <row r="13" spans="1:12" x14ac:dyDescent="0.25">
      <c r="A13" s="184"/>
      <c r="B13" s="184"/>
      <c r="C13" s="185">
        <v>2024</v>
      </c>
      <c r="D13" s="185"/>
      <c r="E13" s="185"/>
      <c r="F13" s="182"/>
      <c r="G13" s="182"/>
      <c r="H13" s="182"/>
      <c r="I13" s="182"/>
      <c r="J13" s="182"/>
      <c r="K13" s="182"/>
      <c r="L13" s="182"/>
    </row>
    <row r="14" spans="1:12" ht="15" customHeight="1" x14ac:dyDescent="0.25">
      <c r="A14" s="182"/>
      <c r="B14" s="186" t="s">
        <v>4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</row>
    <row r="15" spans="1:12" x14ac:dyDescent="0.2">
      <c r="A15" s="182"/>
      <c r="B15" s="186" t="s">
        <v>5</v>
      </c>
      <c r="C15" s="187"/>
      <c r="D15" s="182"/>
      <c r="E15" s="182"/>
      <c r="F15" s="182"/>
      <c r="G15" s="182"/>
      <c r="H15" s="182"/>
      <c r="I15" s="182"/>
      <c r="J15" s="182"/>
      <c r="K15" s="182"/>
      <c r="L15" s="182"/>
    </row>
    <row r="16" spans="1:12" ht="15" x14ac:dyDescent="0.2">
      <c r="A16" s="182"/>
      <c r="B16" s="188" t="s">
        <v>6</v>
      </c>
      <c r="C16" s="189">
        <v>133849416.76000001</v>
      </c>
      <c r="D16" s="189"/>
      <c r="E16" s="187"/>
      <c r="F16" s="191"/>
      <c r="G16" s="191"/>
      <c r="H16" s="182"/>
      <c r="I16" s="182"/>
      <c r="J16" s="182"/>
      <c r="K16" s="182" t="s">
        <v>7</v>
      </c>
      <c r="L16" s="182"/>
    </row>
    <row r="17" spans="1:106" s="73" customFormat="1" x14ac:dyDescent="0.2">
      <c r="A17" s="183"/>
      <c r="B17" s="188" t="s">
        <v>8</v>
      </c>
      <c r="C17" s="187">
        <v>172699504.97999999</v>
      </c>
      <c r="D17" s="187"/>
      <c r="E17" s="187"/>
      <c r="F17" s="187"/>
      <c r="G17" s="195"/>
      <c r="H17" s="190"/>
      <c r="I17" s="190"/>
      <c r="J17" s="190"/>
      <c r="K17" s="190" t="s">
        <v>7</v>
      </c>
      <c r="L17" s="182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</row>
    <row r="18" spans="1:106" s="61" customFormat="1" x14ac:dyDescent="0.2">
      <c r="A18" s="184"/>
      <c r="B18" s="188" t="s">
        <v>9</v>
      </c>
      <c r="C18" s="187">
        <v>86566347.159999996</v>
      </c>
      <c r="D18" s="187"/>
      <c r="E18" s="187"/>
      <c r="F18" s="187"/>
      <c r="G18" s="195"/>
      <c r="H18" s="191"/>
      <c r="I18" s="190"/>
      <c r="J18" s="190"/>
      <c r="K18" s="190" t="s">
        <v>7</v>
      </c>
      <c r="L18" s="182" t="s">
        <v>7</v>
      </c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</row>
    <row r="19" spans="1:106" s="61" customFormat="1" x14ac:dyDescent="0.2">
      <c r="A19" s="184"/>
      <c r="B19" s="188" t="s">
        <v>10</v>
      </c>
      <c r="C19" s="187">
        <v>4954506.59333333</v>
      </c>
      <c r="D19" s="187"/>
      <c r="E19" s="187"/>
      <c r="F19" s="187"/>
      <c r="G19" s="195"/>
      <c r="H19" s="237"/>
      <c r="I19" s="190"/>
      <c r="J19" s="190"/>
      <c r="K19" s="190" t="s">
        <v>7</v>
      </c>
      <c r="L19" s="182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</row>
    <row r="20" spans="1:106" x14ac:dyDescent="0.2">
      <c r="A20" s="182"/>
      <c r="B20" s="186" t="s">
        <v>11</v>
      </c>
      <c r="C20" s="192">
        <f>SUM(C16:C19)</f>
        <v>398069775.49333328</v>
      </c>
      <c r="D20" s="193"/>
      <c r="E20" s="187"/>
      <c r="F20" s="187"/>
      <c r="G20" s="191"/>
      <c r="H20" s="190"/>
      <c r="I20" s="190"/>
      <c r="J20" s="190"/>
      <c r="K20" s="190" t="s">
        <v>7</v>
      </c>
      <c r="L20" s="182"/>
    </row>
    <row r="21" spans="1:106" ht="15" x14ac:dyDescent="0.25">
      <c r="A21" s="182"/>
      <c r="B21" s="194"/>
      <c r="C21" s="193"/>
      <c r="D21" s="193"/>
      <c r="E21" s="187"/>
      <c r="F21" s="187"/>
      <c r="G21" s="191"/>
      <c r="H21" s="195"/>
      <c r="I21" s="237"/>
      <c r="J21" s="182"/>
      <c r="K21" s="182" t="s">
        <v>7</v>
      </c>
      <c r="L21" s="182"/>
    </row>
    <row r="22" spans="1:106" x14ac:dyDescent="0.2">
      <c r="A22" s="182"/>
      <c r="B22" s="186" t="s">
        <v>12</v>
      </c>
      <c r="C22" s="187"/>
      <c r="D22" s="187"/>
      <c r="E22" s="187"/>
      <c r="F22" s="187"/>
      <c r="G22" s="191"/>
      <c r="H22" s="187"/>
      <c r="I22" s="237"/>
      <c r="J22" s="182"/>
      <c r="K22" s="182" t="s">
        <v>7</v>
      </c>
      <c r="L22" s="182"/>
    </row>
    <row r="23" spans="1:106" x14ac:dyDescent="0.2">
      <c r="A23" s="182"/>
      <c r="B23" s="188" t="s">
        <v>13</v>
      </c>
      <c r="C23" s="187">
        <v>203427415.47</v>
      </c>
      <c r="D23" s="187"/>
      <c r="E23" s="187"/>
      <c r="F23" s="187"/>
      <c r="G23" s="191"/>
      <c r="H23" s="190"/>
      <c r="I23" s="190"/>
      <c r="J23" s="190"/>
      <c r="K23" s="190" t="s">
        <v>7</v>
      </c>
      <c r="L23" s="182"/>
    </row>
    <row r="24" spans="1:106" x14ac:dyDescent="0.2">
      <c r="A24" s="182"/>
      <c r="B24" s="186" t="s">
        <v>14</v>
      </c>
      <c r="C24" s="192">
        <f>SUM(C23)</f>
        <v>203427415.47</v>
      </c>
      <c r="D24" s="193"/>
      <c r="E24" s="187"/>
      <c r="F24" s="187"/>
      <c r="G24" s="191"/>
      <c r="H24" s="190"/>
      <c r="I24" s="191"/>
      <c r="J24" s="190"/>
      <c r="K24" s="190" t="s">
        <v>7</v>
      </c>
      <c r="L24" s="182"/>
    </row>
    <row r="25" spans="1:106" ht="15" x14ac:dyDescent="0.25">
      <c r="A25" s="182"/>
      <c r="B25" s="194"/>
      <c r="C25" s="193"/>
      <c r="D25" s="193"/>
      <c r="E25" s="187"/>
      <c r="F25" s="187"/>
      <c r="G25" s="191"/>
      <c r="H25" s="196"/>
      <c r="I25" s="196"/>
      <c r="J25" s="196"/>
      <c r="K25" s="196" t="s">
        <v>7</v>
      </c>
      <c r="L25" s="182" t="s">
        <v>7</v>
      </c>
      <c r="M25" s="74" t="s">
        <v>7</v>
      </c>
    </row>
    <row r="26" spans="1:106" ht="13.5" thickBot="1" x14ac:dyDescent="0.25">
      <c r="A26" s="182"/>
      <c r="B26" s="186" t="s">
        <v>15</v>
      </c>
      <c r="C26" s="197">
        <f>C20+C24</f>
        <v>601497190.96333325</v>
      </c>
      <c r="D26" s="193"/>
      <c r="E26" s="187"/>
      <c r="F26" s="187"/>
      <c r="G26" s="191"/>
      <c r="H26" s="190"/>
      <c r="I26" s="182"/>
      <c r="J26" s="182"/>
      <c r="K26" s="182"/>
      <c r="L26" s="182"/>
    </row>
    <row r="27" spans="1:106" ht="15.75" thickTop="1" x14ac:dyDescent="0.25">
      <c r="A27" s="182"/>
      <c r="B27" s="194"/>
      <c r="C27" s="193"/>
      <c r="D27" s="193"/>
      <c r="E27" s="187"/>
      <c r="F27" s="187"/>
      <c r="G27" s="191"/>
      <c r="H27" s="196"/>
      <c r="I27" s="182"/>
      <c r="J27" s="182"/>
      <c r="K27" s="182"/>
      <c r="L27" s="182"/>
    </row>
    <row r="28" spans="1:106" x14ac:dyDescent="0.2">
      <c r="A28" s="182"/>
      <c r="B28" s="186" t="s">
        <v>16</v>
      </c>
      <c r="C28" s="187"/>
      <c r="D28" s="187"/>
      <c r="E28" s="187"/>
      <c r="F28" s="187"/>
      <c r="G28" s="191"/>
      <c r="H28" s="196"/>
      <c r="I28" s="182"/>
      <c r="J28" s="182"/>
      <c r="K28" s="182"/>
      <c r="L28" s="182"/>
    </row>
    <row r="29" spans="1:106" x14ac:dyDescent="0.2">
      <c r="A29" s="182"/>
      <c r="B29" s="186" t="s">
        <v>17</v>
      </c>
      <c r="C29" s="187"/>
      <c r="D29" s="187"/>
      <c r="E29" s="187"/>
      <c r="F29" s="187"/>
      <c r="G29" s="191"/>
      <c r="H29" s="196"/>
      <c r="I29" s="182"/>
      <c r="J29" s="182"/>
      <c r="K29" s="182"/>
      <c r="L29" s="182"/>
    </row>
    <row r="30" spans="1:106" x14ac:dyDescent="0.2">
      <c r="A30" s="182"/>
      <c r="B30" s="188" t="s">
        <v>18</v>
      </c>
      <c r="C30" s="187">
        <v>270165619.80000001</v>
      </c>
      <c r="D30" s="187"/>
      <c r="E30" s="187"/>
      <c r="F30" s="187"/>
      <c r="G30" s="195"/>
      <c r="H30" s="191"/>
      <c r="I30" s="191"/>
      <c r="J30" s="191"/>
      <c r="K30" s="191"/>
      <c r="L30" s="182"/>
    </row>
    <row r="31" spans="1:106" x14ac:dyDescent="0.2">
      <c r="A31" s="182"/>
      <c r="B31" s="188" t="s">
        <v>19</v>
      </c>
      <c r="C31" s="187">
        <v>3450</v>
      </c>
      <c r="D31" s="187"/>
      <c r="E31" s="187"/>
      <c r="F31" s="187"/>
      <c r="G31" s="191"/>
      <c r="H31" s="190"/>
      <c r="I31" s="182"/>
      <c r="J31" s="182"/>
      <c r="K31" s="182"/>
      <c r="L31" s="182"/>
    </row>
    <row r="32" spans="1:106" x14ac:dyDescent="0.2">
      <c r="A32" s="182"/>
      <c r="B32" s="186" t="s">
        <v>20</v>
      </c>
      <c r="C32" s="192">
        <f>SUM(C30:C31)</f>
        <v>270169069.80000001</v>
      </c>
      <c r="D32" s="193"/>
      <c r="E32" s="187"/>
      <c r="F32" s="187"/>
      <c r="G32" s="191"/>
      <c r="H32" s="190"/>
      <c r="I32" s="182"/>
      <c r="J32" s="182"/>
      <c r="K32" s="182"/>
      <c r="L32" s="182"/>
    </row>
    <row r="33" spans="1:12" ht="15" x14ac:dyDescent="0.25">
      <c r="A33" s="182"/>
      <c r="B33" s="194"/>
      <c r="C33" s="193"/>
      <c r="D33" s="193"/>
      <c r="E33" s="187"/>
      <c r="F33" s="187"/>
      <c r="G33" s="191"/>
      <c r="H33" s="182"/>
      <c r="I33" s="182"/>
      <c r="J33" s="182"/>
      <c r="K33" s="182"/>
      <c r="L33" s="182"/>
    </row>
    <row r="34" spans="1:12" ht="13.5" thickBot="1" x14ac:dyDescent="0.25">
      <c r="A34" s="182"/>
      <c r="B34" s="186" t="s">
        <v>21</v>
      </c>
      <c r="C34" s="197">
        <f>C32</f>
        <v>270169069.80000001</v>
      </c>
      <c r="D34" s="193"/>
      <c r="E34" s="187"/>
      <c r="F34" s="187"/>
      <c r="G34" s="191"/>
      <c r="H34" s="196"/>
      <c r="I34" s="182"/>
      <c r="J34" s="182"/>
      <c r="K34" s="182"/>
      <c r="L34" s="182"/>
    </row>
    <row r="35" spans="1:12" ht="13.5" thickTop="1" x14ac:dyDescent="0.2">
      <c r="A35" s="182"/>
      <c r="B35" s="186"/>
      <c r="C35" s="193"/>
      <c r="D35" s="193"/>
      <c r="E35" s="187"/>
      <c r="F35" s="187"/>
      <c r="G35" s="191"/>
      <c r="H35" s="182"/>
      <c r="I35" s="182"/>
      <c r="J35" s="182"/>
      <c r="K35" s="182"/>
      <c r="L35" s="182"/>
    </row>
    <row r="36" spans="1:12" ht="15" x14ac:dyDescent="0.25">
      <c r="A36" s="182"/>
      <c r="B36" s="198" t="s">
        <v>22</v>
      </c>
      <c r="C36" s="193"/>
      <c r="D36" s="193"/>
      <c r="E36" s="187"/>
      <c r="F36" s="187"/>
      <c r="G36" s="191"/>
      <c r="H36" s="191"/>
      <c r="I36" s="191"/>
      <c r="J36" s="191"/>
      <c r="K36" s="191" t="s">
        <v>7</v>
      </c>
      <c r="L36" s="182"/>
    </row>
    <row r="37" spans="1:12" x14ac:dyDescent="0.2">
      <c r="A37" s="182"/>
      <c r="B37" s="188" t="s">
        <v>23</v>
      </c>
      <c r="C37" s="187">
        <v>534638142.77999997</v>
      </c>
      <c r="D37" s="187"/>
      <c r="E37" s="187"/>
      <c r="F37" s="187"/>
      <c r="G37" s="191"/>
      <c r="H37" s="190"/>
      <c r="I37" s="190"/>
      <c r="J37" s="190"/>
      <c r="K37" s="190" t="s">
        <v>7</v>
      </c>
      <c r="L37" s="182"/>
    </row>
    <row r="38" spans="1:12" ht="25.5" x14ac:dyDescent="0.2">
      <c r="A38" s="182" t="s">
        <v>56</v>
      </c>
      <c r="B38" s="188" t="s">
        <v>24</v>
      </c>
      <c r="C38" s="191">
        <v>55345843.439999998</v>
      </c>
      <c r="D38" s="191"/>
      <c r="E38" s="187"/>
      <c r="F38" s="187"/>
      <c r="G38" s="191"/>
      <c r="H38" s="191"/>
      <c r="I38" s="182"/>
      <c r="J38" s="182"/>
      <c r="K38" s="182" t="s">
        <v>7</v>
      </c>
      <c r="L38" s="182"/>
    </row>
    <row r="39" spans="1:12" x14ac:dyDescent="0.2">
      <c r="A39" s="182"/>
      <c r="B39" s="188" t="s">
        <v>25</v>
      </c>
      <c r="C39" s="191">
        <v>-258655865.06</v>
      </c>
      <c r="D39" s="191"/>
      <c r="E39" s="187"/>
      <c r="F39" s="187"/>
      <c r="G39" s="191"/>
      <c r="H39" s="190"/>
      <c r="I39" s="190"/>
      <c r="J39" s="190"/>
      <c r="K39" s="190" t="s">
        <v>7</v>
      </c>
      <c r="L39" s="182"/>
    </row>
    <row r="40" spans="1:12" x14ac:dyDescent="0.2">
      <c r="A40" s="182"/>
      <c r="B40" s="188" t="s">
        <v>26</v>
      </c>
      <c r="C40" s="192">
        <f>SUM(C37:C39)</f>
        <v>331328121.16000003</v>
      </c>
      <c r="D40" s="193"/>
      <c r="E40" s="187"/>
      <c r="F40" s="187"/>
      <c r="G40" s="191"/>
      <c r="H40" s="191"/>
      <c r="I40" s="182"/>
      <c r="J40" s="182"/>
      <c r="K40" s="182" t="s">
        <v>7</v>
      </c>
      <c r="L40" s="182"/>
    </row>
    <row r="41" spans="1:12" ht="15" x14ac:dyDescent="0.25">
      <c r="A41" s="182"/>
      <c r="B41" s="194"/>
      <c r="C41" s="193"/>
      <c r="D41" s="193"/>
      <c r="E41" s="193"/>
      <c r="F41" s="191"/>
      <c r="G41" s="191"/>
      <c r="H41" s="191"/>
      <c r="I41" s="182"/>
      <c r="J41" s="182"/>
      <c r="K41" s="182"/>
      <c r="L41" s="182"/>
    </row>
    <row r="42" spans="1:12" ht="13.5" thickBot="1" x14ac:dyDescent="0.25">
      <c r="A42" s="182"/>
      <c r="B42" s="186" t="s">
        <v>27</v>
      </c>
      <c r="C42" s="197">
        <f>+C34+C40</f>
        <v>601497190.96000004</v>
      </c>
      <c r="D42" s="193"/>
      <c r="E42" s="193"/>
      <c r="F42" s="195"/>
      <c r="G42" s="191"/>
      <c r="H42" s="191"/>
      <c r="I42" s="182"/>
      <c r="J42" s="182"/>
      <c r="K42" s="182"/>
      <c r="L42" s="182"/>
    </row>
    <row r="43" spans="1:12" ht="13.5" thickTop="1" x14ac:dyDescent="0.25">
      <c r="A43" s="182"/>
      <c r="B43" s="199"/>
      <c r="C43" s="200"/>
      <c r="D43" s="182"/>
      <c r="E43" s="182"/>
      <c r="F43" s="191"/>
      <c r="G43" s="190"/>
      <c r="H43" s="191"/>
      <c r="I43" s="182"/>
      <c r="J43" s="182" t="s">
        <v>7</v>
      </c>
      <c r="K43" s="182" t="s">
        <v>7</v>
      </c>
      <c r="L43" s="182" t="s">
        <v>7</v>
      </c>
    </row>
    <row r="44" spans="1:12" x14ac:dyDescent="0.25">
      <c r="A44" s="182"/>
      <c r="B44" s="199"/>
      <c r="C44" s="200"/>
      <c r="D44" s="182"/>
      <c r="E44" s="182"/>
      <c r="F44" s="191"/>
      <c r="G44" s="190"/>
      <c r="H44" s="191"/>
      <c r="I44" s="182"/>
      <c r="J44" s="182"/>
      <c r="K44" s="182"/>
      <c r="L44" s="182"/>
    </row>
    <row r="45" spans="1:12" x14ac:dyDescent="0.25">
      <c r="A45" s="182"/>
      <c r="B45" s="199"/>
      <c r="C45" s="200"/>
      <c r="D45" s="191"/>
      <c r="E45" s="182"/>
      <c r="F45" s="191"/>
      <c r="G45" s="190"/>
      <c r="H45" s="191"/>
      <c r="I45" s="182"/>
      <c r="J45" s="182"/>
      <c r="K45" s="182"/>
      <c r="L45" s="182"/>
    </row>
    <row r="46" spans="1:12" x14ac:dyDescent="0.25">
      <c r="A46" s="182"/>
      <c r="B46" s="199"/>
      <c r="C46" s="200"/>
      <c r="D46" s="182" t="s">
        <v>7</v>
      </c>
      <c r="E46" s="190"/>
      <c r="F46" s="182"/>
      <c r="G46" s="190"/>
      <c r="H46" s="196"/>
      <c r="I46" s="196"/>
      <c r="J46" s="196" t="s">
        <v>7</v>
      </c>
      <c r="K46" s="196" t="s">
        <v>7</v>
      </c>
      <c r="L46" s="182" t="s">
        <v>7</v>
      </c>
    </row>
    <row r="47" spans="1:12" x14ac:dyDescent="0.25">
      <c r="A47" s="182"/>
      <c r="B47" s="199"/>
      <c r="C47" s="200"/>
      <c r="D47" s="182" t="s">
        <v>7</v>
      </c>
      <c r="E47" s="190" t="s">
        <v>7</v>
      </c>
      <c r="F47" s="182"/>
      <c r="G47" s="190"/>
      <c r="H47" s="190"/>
      <c r="I47" s="190"/>
      <c r="J47" s="190" t="s">
        <v>7</v>
      </c>
      <c r="K47" s="190" t="s">
        <v>7</v>
      </c>
      <c r="L47" s="182" t="s">
        <v>7</v>
      </c>
    </row>
    <row r="48" spans="1:12" customFormat="1" ht="15" x14ac:dyDescent="0.25">
      <c r="A48" s="417" t="s">
        <v>7</v>
      </c>
      <c r="B48" s="417"/>
      <c r="C48" s="417"/>
      <c r="D48" s="417"/>
      <c r="E48" s="417"/>
      <c r="F48" s="201"/>
      <c r="G48" s="202"/>
      <c r="H48" s="202"/>
      <c r="I48" s="202" t="s">
        <v>7</v>
      </c>
      <c r="J48" s="202" t="s">
        <v>7</v>
      </c>
      <c r="K48" s="202" t="s">
        <v>7</v>
      </c>
      <c r="L48" s="201" t="s">
        <v>7</v>
      </c>
    </row>
    <row r="49" spans="1:12" customFormat="1" ht="15" x14ac:dyDescent="0.25">
      <c r="A49" s="420" t="s">
        <v>7</v>
      </c>
      <c r="B49" s="420"/>
      <c r="C49" s="420"/>
      <c r="D49" s="420"/>
      <c r="E49" s="420"/>
      <c r="F49" s="201"/>
      <c r="G49" s="202"/>
      <c r="H49" s="202"/>
      <c r="I49" s="202" t="s">
        <v>7</v>
      </c>
      <c r="J49" s="202" t="s">
        <v>7</v>
      </c>
      <c r="K49" s="202" t="s">
        <v>7</v>
      </c>
      <c r="L49" s="201" t="s">
        <v>7</v>
      </c>
    </row>
    <row r="50" spans="1:12" customFormat="1" ht="15" x14ac:dyDescent="0.25">
      <c r="A50" s="218"/>
      <c r="B50" s="218"/>
      <c r="C50" s="218"/>
      <c r="D50" s="218"/>
      <c r="E50" s="218"/>
      <c r="F50" s="201"/>
      <c r="G50" s="202"/>
      <c r="H50" s="202"/>
      <c r="I50" s="202"/>
      <c r="J50" s="202"/>
      <c r="K50" s="202"/>
      <c r="L50" s="201"/>
    </row>
    <row r="51" spans="1:12" customFormat="1" ht="15" x14ac:dyDescent="0.25">
      <c r="A51" s="218"/>
      <c r="B51" s="218"/>
      <c r="C51" s="218"/>
      <c r="D51" s="218"/>
      <c r="E51" s="218"/>
      <c r="F51" s="201"/>
      <c r="G51" s="202"/>
      <c r="H51" s="202"/>
      <c r="I51" s="202"/>
      <c r="J51" s="202"/>
      <c r="K51" s="202"/>
      <c r="L51" s="201"/>
    </row>
    <row r="52" spans="1:12" customFormat="1" ht="15" x14ac:dyDescent="0.25">
      <c r="A52" s="201"/>
      <c r="B52" s="203" t="s">
        <v>7</v>
      </c>
      <c r="C52" s="203" t="s">
        <v>7</v>
      </c>
      <c r="D52" s="203"/>
      <c r="E52" s="201"/>
      <c r="F52" s="201"/>
      <c r="G52" s="201"/>
      <c r="H52" s="201"/>
      <c r="I52" s="201"/>
      <c r="J52" s="201"/>
      <c r="K52" s="201"/>
      <c r="L52" s="201" t="s">
        <v>7</v>
      </c>
    </row>
    <row r="53" spans="1:12" customFormat="1" ht="15" x14ac:dyDescent="0.25">
      <c r="A53" s="201"/>
      <c r="B53" s="203" t="s">
        <v>57</v>
      </c>
      <c r="C53" s="201"/>
      <c r="D53" s="203"/>
      <c r="E53" s="204" t="s">
        <v>7</v>
      </c>
      <c r="F53" s="201"/>
      <c r="G53" s="205"/>
      <c r="H53" s="205"/>
      <c r="I53" s="205" t="s">
        <v>7</v>
      </c>
      <c r="J53" s="205" t="s">
        <v>7</v>
      </c>
      <c r="K53" s="205" t="s">
        <v>7</v>
      </c>
      <c r="L53" s="201" t="s">
        <v>7</v>
      </c>
    </row>
    <row r="54" spans="1:12" customFormat="1" ht="15" x14ac:dyDescent="0.25">
      <c r="A54" s="201"/>
      <c r="B54" s="218" t="s">
        <v>2212</v>
      </c>
      <c r="C54" s="201"/>
      <c r="D54" s="201"/>
      <c r="E54" s="201"/>
      <c r="F54" s="201"/>
      <c r="G54" s="205"/>
      <c r="H54" s="205"/>
      <c r="I54" s="205" t="s">
        <v>7</v>
      </c>
      <c r="J54" s="205" t="s">
        <v>7</v>
      </c>
      <c r="K54" s="205" t="s">
        <v>7</v>
      </c>
      <c r="L54" s="201"/>
    </row>
    <row r="55" spans="1:12" customFormat="1" ht="15" x14ac:dyDescent="0.25">
      <c r="A55" s="417" t="s">
        <v>2213</v>
      </c>
      <c r="B55" s="417"/>
      <c r="C55" s="417"/>
      <c r="D55" s="417"/>
      <c r="E55" s="417"/>
      <c r="F55" s="201"/>
      <c r="G55" s="201"/>
      <c r="H55" s="201"/>
      <c r="I55" s="201"/>
      <c r="J55" s="201"/>
      <c r="K55" s="201"/>
      <c r="L55" s="201"/>
    </row>
    <row r="56" spans="1:12" customFormat="1" ht="15" x14ac:dyDescent="0.25">
      <c r="A56" s="417" t="s">
        <v>7</v>
      </c>
      <c r="B56" s="417"/>
      <c r="C56" s="417" t="s">
        <v>7</v>
      </c>
      <c r="D56" s="417"/>
      <c r="E56" s="417"/>
      <c r="F56" s="201"/>
      <c r="G56" s="201"/>
      <c r="H56" s="201"/>
      <c r="I56" s="201"/>
      <c r="J56" s="201"/>
      <c r="K56" s="201"/>
      <c r="L56" s="201"/>
    </row>
    <row r="57" spans="1:12" customFormat="1" ht="15" x14ac:dyDescent="0.25">
      <c r="A57" s="201"/>
      <c r="B57" s="417"/>
      <c r="C57" s="417"/>
      <c r="D57" s="201"/>
      <c r="E57" s="201"/>
      <c r="F57" s="201"/>
      <c r="G57" s="201"/>
      <c r="H57" s="201"/>
      <c r="I57" s="201"/>
      <c r="J57" s="201"/>
      <c r="K57" s="201"/>
      <c r="L57" s="201"/>
    </row>
    <row r="58" spans="1:12" customFormat="1" ht="15" x14ac:dyDescent="0.25">
      <c r="A58" s="201"/>
      <c r="B58" s="203"/>
      <c r="C58" s="203"/>
      <c r="D58" s="201"/>
      <c r="E58" s="201"/>
      <c r="F58" s="201"/>
      <c r="G58" s="201"/>
      <c r="H58" s="201"/>
      <c r="I58" s="201"/>
      <c r="J58" s="201"/>
      <c r="K58" s="201"/>
      <c r="L58" s="201"/>
    </row>
    <row r="59" spans="1:12" customFormat="1" ht="15" x14ac:dyDescent="0.25">
      <c r="A59" s="201"/>
      <c r="B59" s="203"/>
      <c r="C59" s="203"/>
      <c r="D59" s="201"/>
      <c r="E59" s="201"/>
      <c r="F59" s="201"/>
      <c r="G59" s="201"/>
      <c r="H59" s="201"/>
      <c r="I59" s="201"/>
      <c r="J59" s="201"/>
      <c r="K59" s="201"/>
      <c r="L59" s="201"/>
    </row>
    <row r="60" spans="1:12" customFormat="1" ht="15" x14ac:dyDescent="0.25">
      <c r="A60" s="201"/>
      <c r="B60" s="201" t="s">
        <v>7</v>
      </c>
      <c r="C60" s="201" t="s">
        <v>29</v>
      </c>
      <c r="D60" s="201"/>
      <c r="E60" s="201"/>
      <c r="F60" s="201"/>
      <c r="G60" s="201"/>
      <c r="H60" s="201"/>
      <c r="I60" s="201"/>
      <c r="J60" s="201"/>
      <c r="K60" s="201"/>
      <c r="L60" s="201"/>
    </row>
    <row r="61" spans="1:12" x14ac:dyDescent="0.25">
      <c r="A61" s="182"/>
      <c r="B61" s="199"/>
      <c r="C61" s="200"/>
      <c r="D61" s="182"/>
      <c r="E61" s="182"/>
      <c r="F61" s="182"/>
      <c r="G61" s="182"/>
      <c r="H61" s="182"/>
      <c r="I61" s="182"/>
      <c r="J61" s="182"/>
      <c r="K61" s="182"/>
      <c r="L61" s="182"/>
    </row>
    <row r="62" spans="1:12" x14ac:dyDescent="0.25">
      <c r="A62" s="206"/>
      <c r="B62" s="207"/>
      <c r="C62" s="191" t="s">
        <v>7</v>
      </c>
      <c r="D62" s="182"/>
      <c r="E62" s="182"/>
      <c r="F62" s="182"/>
      <c r="G62" s="182"/>
      <c r="H62" s="182"/>
      <c r="I62" s="182"/>
      <c r="J62" s="182"/>
      <c r="K62" s="182"/>
      <c r="L62" s="182"/>
    </row>
    <row r="63" spans="1:12" ht="15" x14ac:dyDescent="0.25">
      <c r="A63" s="206"/>
      <c r="B63" s="203" t="s">
        <v>2210</v>
      </c>
      <c r="C63" s="203" t="s">
        <v>2211</v>
      </c>
      <c r="D63" s="182"/>
      <c r="E63" s="182"/>
      <c r="F63" s="182"/>
      <c r="G63" s="182"/>
      <c r="H63" s="182"/>
      <c r="I63" s="182"/>
      <c r="J63" s="182"/>
      <c r="K63" s="182"/>
      <c r="L63" s="182"/>
    </row>
    <row r="64" spans="1:12" ht="15" x14ac:dyDescent="0.25">
      <c r="A64" s="206"/>
      <c r="B64" s="203" t="s">
        <v>982</v>
      </c>
      <c r="C64" s="203" t="s">
        <v>55</v>
      </c>
      <c r="D64" s="182"/>
      <c r="E64" s="182"/>
      <c r="F64" s="182"/>
      <c r="G64" s="182"/>
      <c r="H64" s="182"/>
      <c r="I64" s="182"/>
      <c r="J64" s="182"/>
      <c r="K64" s="182"/>
      <c r="L64" s="182"/>
    </row>
    <row r="65" spans="1:12" ht="15" x14ac:dyDescent="0.25">
      <c r="A65" s="206"/>
      <c r="B65" s="203"/>
      <c r="C65" s="203"/>
      <c r="D65" s="182"/>
      <c r="E65" s="182"/>
      <c r="F65" s="182"/>
      <c r="G65" s="182"/>
      <c r="H65" s="182"/>
      <c r="I65" s="182"/>
      <c r="J65" s="182"/>
      <c r="K65" s="182"/>
      <c r="L65" s="182"/>
    </row>
    <row r="66" spans="1:12" x14ac:dyDescent="0.25">
      <c r="A66" s="206"/>
      <c r="B66" s="208"/>
      <c r="C66" s="182"/>
      <c r="D66" s="182"/>
      <c r="E66" s="182"/>
      <c r="F66" s="182"/>
      <c r="G66" s="182"/>
      <c r="H66" s="182"/>
      <c r="I66" s="182"/>
      <c r="J66" s="182"/>
      <c r="K66" s="182"/>
      <c r="L66" s="182"/>
    </row>
    <row r="67" spans="1:12" x14ac:dyDescent="0.25">
      <c r="A67" s="206"/>
      <c r="B67" s="208"/>
      <c r="C67" s="182"/>
      <c r="D67" s="182"/>
      <c r="E67" s="182"/>
      <c r="F67" s="182"/>
      <c r="G67" s="182"/>
      <c r="H67" s="182"/>
      <c r="I67" s="182"/>
      <c r="J67" s="182"/>
      <c r="K67" s="182"/>
      <c r="L67" s="182"/>
    </row>
    <row r="68" spans="1:12" x14ac:dyDescent="0.25">
      <c r="A68" s="206"/>
      <c r="B68" s="208"/>
      <c r="C68" s="182"/>
      <c r="D68" s="182"/>
      <c r="E68" s="182"/>
      <c r="F68" s="182"/>
      <c r="G68" s="182"/>
      <c r="H68" s="182"/>
      <c r="I68" s="182"/>
      <c r="J68" s="182"/>
      <c r="K68" s="182"/>
      <c r="L68" s="182"/>
    </row>
    <row r="69" spans="1:12" x14ac:dyDescent="0.25">
      <c r="A69" s="206"/>
      <c r="B69" s="208"/>
      <c r="C69" s="182"/>
      <c r="D69" s="182"/>
      <c r="E69" s="182"/>
      <c r="F69" s="182"/>
      <c r="G69" s="182"/>
      <c r="H69" s="182"/>
      <c r="I69" s="182"/>
      <c r="J69" s="182"/>
      <c r="K69" s="182"/>
      <c r="L69" s="182"/>
    </row>
    <row r="70" spans="1:12" x14ac:dyDescent="0.25">
      <c r="A70" s="206"/>
      <c r="B70" s="208"/>
      <c r="C70" s="182"/>
      <c r="D70" s="182"/>
      <c r="E70" s="182"/>
      <c r="F70" s="182"/>
      <c r="G70" s="182"/>
      <c r="H70" s="182"/>
      <c r="I70" s="182"/>
      <c r="J70" s="182"/>
      <c r="K70" s="182"/>
      <c r="L70" s="182"/>
    </row>
    <row r="71" spans="1:12" x14ac:dyDescent="0.25">
      <c r="A71" s="206"/>
      <c r="B71" s="208"/>
      <c r="C71" s="182"/>
      <c r="D71" s="182"/>
      <c r="E71" s="182"/>
      <c r="F71" s="182"/>
      <c r="G71" s="182"/>
      <c r="H71" s="182"/>
      <c r="I71" s="182"/>
      <c r="J71" s="182"/>
      <c r="K71" s="182"/>
      <c r="L71" s="182"/>
    </row>
    <row r="72" spans="1:12" x14ac:dyDescent="0.25">
      <c r="A72" s="206"/>
      <c r="B72" s="208"/>
      <c r="C72" s="182"/>
      <c r="D72" s="182"/>
      <c r="E72" s="182"/>
      <c r="F72" s="182"/>
      <c r="G72" s="182"/>
      <c r="H72" s="182"/>
      <c r="I72" s="182"/>
      <c r="J72" s="182"/>
      <c r="K72" s="182"/>
      <c r="L72" s="182"/>
    </row>
    <row r="73" spans="1:12" x14ac:dyDescent="0.25">
      <c r="A73" s="206"/>
      <c r="B73" s="208"/>
      <c r="C73" s="182"/>
      <c r="D73" s="182"/>
      <c r="E73" s="182"/>
      <c r="F73" s="182"/>
      <c r="G73" s="182"/>
      <c r="H73" s="182"/>
      <c r="I73" s="182"/>
      <c r="J73" s="182"/>
      <c r="K73" s="182"/>
      <c r="L73" s="182"/>
    </row>
    <row r="74" spans="1:12" x14ac:dyDescent="0.25">
      <c r="A74" s="206"/>
      <c r="B74" s="208"/>
      <c r="C74" s="182"/>
      <c r="D74" s="182"/>
      <c r="E74" s="182"/>
      <c r="F74" s="182"/>
      <c r="G74" s="182"/>
      <c r="H74" s="182"/>
      <c r="I74" s="182"/>
      <c r="J74" s="182"/>
      <c r="K74" s="182"/>
      <c r="L74" s="182"/>
    </row>
    <row r="75" spans="1:12" x14ac:dyDescent="0.25">
      <c r="A75" s="206"/>
      <c r="B75" s="208"/>
      <c r="C75" s="182"/>
      <c r="D75" s="182"/>
      <c r="E75" s="182"/>
      <c r="F75" s="182"/>
      <c r="G75" s="182"/>
      <c r="H75" s="182"/>
      <c r="I75" s="182"/>
      <c r="J75" s="182"/>
      <c r="K75" s="182"/>
      <c r="L75" s="182"/>
    </row>
    <row r="76" spans="1:12" x14ac:dyDescent="0.25">
      <c r="A76" s="206"/>
      <c r="B76" s="208"/>
      <c r="C76" s="182"/>
      <c r="D76" s="182"/>
      <c r="E76" s="182"/>
      <c r="F76" s="182"/>
      <c r="G76" s="182"/>
      <c r="H76" s="182"/>
      <c r="I76" s="182"/>
      <c r="J76" s="182"/>
      <c r="K76" s="182"/>
      <c r="L76" s="182"/>
    </row>
    <row r="77" spans="1:12" x14ac:dyDescent="0.25">
      <c r="A77" s="206"/>
      <c r="B77" s="208"/>
      <c r="C77" s="182"/>
      <c r="D77" s="182"/>
      <c r="E77" s="182"/>
      <c r="F77" s="182"/>
      <c r="G77" s="182"/>
      <c r="H77" s="182"/>
      <c r="I77" s="182"/>
      <c r="J77" s="182"/>
      <c r="K77" s="182"/>
      <c r="L77" s="182"/>
    </row>
    <row r="78" spans="1:12" x14ac:dyDescent="0.25">
      <c r="A78" s="206"/>
      <c r="B78" s="208"/>
      <c r="C78" s="182"/>
      <c r="D78" s="182"/>
      <c r="E78" s="182"/>
      <c r="F78" s="182"/>
      <c r="G78" s="182"/>
      <c r="H78" s="182"/>
      <c r="I78" s="182"/>
      <c r="J78" s="182"/>
      <c r="K78" s="182"/>
      <c r="L78" s="182"/>
    </row>
    <row r="79" spans="1:12" x14ac:dyDescent="0.25">
      <c r="A79" s="206"/>
      <c r="B79" s="208"/>
      <c r="C79" s="182"/>
      <c r="D79" s="182"/>
      <c r="E79" s="182"/>
      <c r="F79" s="182"/>
      <c r="G79" s="182"/>
      <c r="H79" s="182"/>
      <c r="I79" s="182"/>
      <c r="J79" s="182"/>
      <c r="K79" s="182"/>
      <c r="L79" s="182"/>
    </row>
    <row r="80" spans="1:12" x14ac:dyDescent="0.25">
      <c r="A80" s="206"/>
      <c r="B80" s="208"/>
      <c r="C80" s="182"/>
      <c r="D80" s="182"/>
      <c r="E80" s="182"/>
      <c r="F80" s="182"/>
      <c r="G80" s="182"/>
      <c r="H80" s="182"/>
      <c r="I80" s="182"/>
      <c r="J80" s="182"/>
      <c r="K80" s="182"/>
      <c r="L80" s="182"/>
    </row>
    <row r="81" spans="1:12" x14ac:dyDescent="0.25">
      <c r="A81" s="206"/>
      <c r="B81" s="208"/>
      <c r="C81" s="182"/>
      <c r="D81" s="182"/>
      <c r="E81" s="182"/>
      <c r="F81" s="182"/>
      <c r="G81" s="182"/>
      <c r="H81" s="182"/>
      <c r="I81" s="182"/>
      <c r="J81" s="182"/>
      <c r="K81" s="182"/>
      <c r="L81" s="182"/>
    </row>
    <row r="82" spans="1:12" x14ac:dyDescent="0.25">
      <c r="A82" s="206"/>
      <c r="B82" s="208"/>
      <c r="C82" s="182"/>
      <c r="D82" s="182"/>
      <c r="E82" s="182"/>
      <c r="F82" s="182"/>
      <c r="G82" s="182"/>
      <c r="H82" s="182"/>
      <c r="I82" s="182"/>
      <c r="J82" s="182"/>
      <c r="K82" s="182"/>
      <c r="L82" s="182"/>
    </row>
    <row r="83" spans="1:12" x14ac:dyDescent="0.25">
      <c r="A83" s="206"/>
      <c r="B83" s="208"/>
      <c r="C83" s="182"/>
      <c r="D83" s="182"/>
      <c r="E83" s="182"/>
      <c r="F83" s="182"/>
      <c r="G83" s="182"/>
      <c r="H83" s="182"/>
      <c r="I83" s="182"/>
      <c r="J83" s="182"/>
      <c r="K83" s="182"/>
      <c r="L83" s="182"/>
    </row>
    <row r="84" spans="1:12" x14ac:dyDescent="0.25">
      <c r="A84" s="206"/>
      <c r="B84" s="208"/>
      <c r="C84" s="182"/>
      <c r="D84" s="182"/>
      <c r="E84" s="182"/>
      <c r="F84" s="182"/>
      <c r="G84" s="182"/>
      <c r="H84" s="182"/>
      <c r="I84" s="182"/>
      <c r="J84" s="182"/>
      <c r="K84" s="182"/>
      <c r="L84" s="182"/>
    </row>
    <row r="85" spans="1:12" ht="15" x14ac:dyDescent="0.25">
      <c r="A85"/>
      <c r="B85" s="17" t="s">
        <v>289</v>
      </c>
      <c r="C85"/>
      <c r="D85"/>
      <c r="E85"/>
      <c r="F85"/>
      <c r="G85" s="182"/>
      <c r="H85" s="182"/>
      <c r="I85" s="182"/>
      <c r="J85" s="182"/>
      <c r="K85" s="182"/>
      <c r="L85" s="182"/>
    </row>
    <row r="86" spans="1:12" ht="15" x14ac:dyDescent="0.25">
      <c r="A86" s="201"/>
      <c r="B86" s="201"/>
      <c r="C86" s="201"/>
      <c r="D86" s="201"/>
      <c r="E86" s="201"/>
      <c r="F86" s="201"/>
      <c r="G86" s="368"/>
      <c r="H86" s="182"/>
      <c r="I86" s="182"/>
      <c r="J86" s="182"/>
      <c r="K86" s="182"/>
      <c r="L86" s="182"/>
    </row>
    <row r="87" spans="1:12" ht="15" x14ac:dyDescent="0.25">
      <c r="A87" s="201"/>
      <c r="B87" s="203" t="s">
        <v>290</v>
      </c>
      <c r="C87" s="201"/>
      <c r="D87" s="201"/>
      <c r="E87" s="201"/>
      <c r="F87" s="201"/>
      <c r="G87" s="368"/>
      <c r="H87" s="182"/>
      <c r="I87" s="182"/>
      <c r="J87" s="182"/>
      <c r="K87" s="182"/>
      <c r="L87" s="182"/>
    </row>
    <row r="88" spans="1:12" ht="15" x14ac:dyDescent="0.25">
      <c r="A88" s="201"/>
      <c r="B88" s="201"/>
      <c r="C88" s="201"/>
      <c r="D88" s="201"/>
      <c r="E88" s="201"/>
      <c r="F88" s="201"/>
      <c r="G88" s="368"/>
      <c r="H88" s="182"/>
      <c r="I88" s="182"/>
      <c r="J88" s="182"/>
      <c r="K88" s="182"/>
      <c r="L88" s="182"/>
    </row>
    <row r="89" spans="1:12" ht="15" x14ac:dyDescent="0.25">
      <c r="A89" s="201"/>
      <c r="B89" s="203" t="s">
        <v>2592</v>
      </c>
      <c r="C89" s="203"/>
      <c r="D89" s="203"/>
      <c r="E89" s="201"/>
      <c r="F89" s="201"/>
      <c r="G89" s="368"/>
      <c r="H89" s="182"/>
      <c r="I89" s="182"/>
      <c r="J89" s="182"/>
      <c r="K89" s="182"/>
      <c r="L89" s="182"/>
    </row>
    <row r="90" spans="1:12" ht="15" x14ac:dyDescent="0.25">
      <c r="A90" s="201"/>
      <c r="B90" s="201"/>
      <c r="C90" s="201"/>
      <c r="D90" s="201"/>
      <c r="E90" s="201"/>
      <c r="F90" s="201"/>
      <c r="G90" s="368"/>
      <c r="H90" s="182"/>
      <c r="I90" s="182"/>
      <c r="J90" s="182"/>
      <c r="K90" s="182"/>
      <c r="L90" s="182"/>
    </row>
    <row r="91" spans="1:12" ht="15" x14ac:dyDescent="0.25">
      <c r="A91" s="201"/>
      <c r="B91" s="203" t="s">
        <v>291</v>
      </c>
      <c r="C91" s="369">
        <v>2024</v>
      </c>
      <c r="D91" s="275"/>
      <c r="E91" s="275"/>
      <c r="F91" s="275"/>
      <c r="G91" s="368"/>
      <c r="H91" s="182"/>
      <c r="I91" s="182"/>
      <c r="J91" s="182"/>
      <c r="K91" s="182"/>
      <c r="L91" s="182"/>
    </row>
    <row r="92" spans="1:12" ht="15" x14ac:dyDescent="0.25">
      <c r="A92" s="201"/>
      <c r="B92" s="203" t="s">
        <v>292</v>
      </c>
      <c r="C92" s="370">
        <v>124864399.37</v>
      </c>
      <c r="D92" s="371"/>
      <c r="E92" s="372"/>
      <c r="F92" s="373"/>
      <c r="G92" s="368"/>
      <c r="H92" s="182"/>
      <c r="I92" s="182"/>
      <c r="J92" s="182"/>
      <c r="K92" s="182"/>
      <c r="L92" s="182"/>
    </row>
    <row r="93" spans="1:12" ht="15" x14ac:dyDescent="0.25">
      <c r="A93" s="201"/>
      <c r="B93" s="203" t="s">
        <v>2607</v>
      </c>
      <c r="C93" s="370">
        <v>7955921.9900000002</v>
      </c>
      <c r="D93" s="371"/>
      <c r="E93" s="372"/>
      <c r="F93" s="373"/>
      <c r="G93" s="368"/>
      <c r="H93" s="182"/>
      <c r="I93" s="182"/>
      <c r="J93" s="182"/>
      <c r="K93" s="182"/>
      <c r="L93" s="182"/>
    </row>
    <row r="94" spans="1:12" ht="15" x14ac:dyDescent="0.25">
      <c r="A94" s="201"/>
      <c r="B94" s="203" t="s">
        <v>294</v>
      </c>
      <c r="C94" s="370">
        <v>1014095.4</v>
      </c>
      <c r="D94" s="371"/>
      <c r="E94" s="372"/>
      <c r="F94" s="373"/>
      <c r="G94" s="368"/>
      <c r="H94" s="182"/>
      <c r="I94" s="182"/>
      <c r="J94" s="182"/>
      <c r="K94" s="182"/>
      <c r="L94" s="182"/>
    </row>
    <row r="95" spans="1:12" ht="15" x14ac:dyDescent="0.25">
      <c r="A95" s="201"/>
      <c r="B95" s="203" t="s">
        <v>295</v>
      </c>
      <c r="C95" s="370">
        <v>0</v>
      </c>
      <c r="D95" s="371"/>
      <c r="E95" s="372"/>
      <c r="F95" s="373"/>
      <c r="G95" s="368"/>
      <c r="H95" s="182"/>
      <c r="I95" s="182"/>
      <c r="J95" s="182"/>
      <c r="K95" s="182"/>
      <c r="L95" s="182"/>
    </row>
    <row r="96" spans="1:12" ht="15" x14ac:dyDescent="0.25">
      <c r="A96" s="201"/>
      <c r="B96" s="203" t="s">
        <v>296</v>
      </c>
      <c r="C96" s="370">
        <v>15000</v>
      </c>
      <c r="D96" s="371"/>
      <c r="E96" s="372"/>
      <c r="F96" s="373"/>
      <c r="G96" s="368"/>
      <c r="H96" s="182"/>
      <c r="I96" s="182"/>
      <c r="J96" s="182"/>
      <c r="K96" s="182"/>
      <c r="L96" s="182"/>
    </row>
    <row r="97" spans="1:12" ht="15" x14ac:dyDescent="0.25">
      <c r="A97" s="201"/>
      <c r="B97" s="203" t="s">
        <v>297</v>
      </c>
      <c r="C97" s="282">
        <f>SUM(C92:C96)</f>
        <v>133849416.76000001</v>
      </c>
      <c r="D97" s="288"/>
      <c r="E97" s="288"/>
      <c r="F97" s="374"/>
      <c r="G97" s="368"/>
      <c r="H97" s="182"/>
      <c r="I97" s="182"/>
      <c r="J97" s="182"/>
      <c r="K97" s="182"/>
      <c r="L97" s="182"/>
    </row>
    <row r="98" spans="1:12" ht="15" x14ac:dyDescent="0.25">
      <c r="A98" s="201"/>
      <c r="B98" s="201"/>
      <c r="C98" s="201"/>
      <c r="D98" s="201"/>
      <c r="E98" s="201"/>
      <c r="F98" s="201"/>
      <c r="G98" s="368"/>
      <c r="H98" s="182"/>
      <c r="I98" s="182"/>
      <c r="J98" s="182"/>
      <c r="K98" s="182"/>
      <c r="L98" s="182"/>
    </row>
    <row r="99" spans="1:12" ht="15" x14ac:dyDescent="0.25">
      <c r="A99" s="201"/>
      <c r="B99" s="201"/>
      <c r="C99" s="201"/>
      <c r="D99" s="201"/>
      <c r="E99" s="201"/>
      <c r="F99" s="201"/>
      <c r="G99" s="368"/>
      <c r="H99" s="182"/>
      <c r="I99" s="182"/>
      <c r="J99" s="182"/>
      <c r="K99" s="182"/>
      <c r="L99" s="182"/>
    </row>
    <row r="100" spans="1:12" ht="15" x14ac:dyDescent="0.25">
      <c r="A100" s="201"/>
      <c r="B100" s="203" t="s">
        <v>2593</v>
      </c>
      <c r="C100" s="203"/>
      <c r="D100" s="203"/>
      <c r="E100" s="203"/>
      <c r="F100" s="201"/>
      <c r="G100" s="368"/>
      <c r="H100" s="182"/>
      <c r="I100" s="182"/>
      <c r="J100" s="182"/>
      <c r="K100" s="182"/>
      <c r="L100" s="182"/>
    </row>
    <row r="101" spans="1:12" ht="15" x14ac:dyDescent="0.25">
      <c r="A101" s="201"/>
      <c r="B101" s="203"/>
      <c r="C101" s="203"/>
      <c r="D101" s="203"/>
      <c r="E101" s="203"/>
      <c r="F101" s="201"/>
      <c r="G101" s="368"/>
      <c r="H101" s="182"/>
      <c r="I101" s="182"/>
      <c r="J101" s="182"/>
      <c r="K101" s="182"/>
      <c r="L101" s="182"/>
    </row>
    <row r="102" spans="1:12" ht="15" x14ac:dyDescent="0.25">
      <c r="A102" s="201"/>
      <c r="B102" s="203"/>
      <c r="C102" s="203"/>
      <c r="D102" s="203"/>
      <c r="E102" s="203"/>
      <c r="F102" s="201"/>
      <c r="G102" s="368"/>
      <c r="H102" s="182"/>
      <c r="I102" s="182"/>
      <c r="J102" s="182"/>
      <c r="K102" s="182"/>
      <c r="L102" s="182"/>
    </row>
    <row r="103" spans="1:12" ht="15" x14ac:dyDescent="0.25">
      <c r="A103" s="201"/>
      <c r="B103" s="203"/>
      <c r="C103" s="203"/>
      <c r="D103" s="203"/>
      <c r="E103" s="203"/>
      <c r="F103" s="201"/>
      <c r="G103" s="368"/>
      <c r="H103" s="182"/>
      <c r="I103" s="182"/>
      <c r="J103" s="182"/>
      <c r="K103" s="182"/>
      <c r="L103" s="182"/>
    </row>
    <row r="104" spans="1:12" ht="15" x14ac:dyDescent="0.25">
      <c r="A104" s="201"/>
      <c r="B104" s="203"/>
      <c r="C104" s="203"/>
      <c r="D104" s="203"/>
      <c r="E104" s="203"/>
      <c r="F104" s="201"/>
      <c r="G104" s="368"/>
      <c r="H104" s="182"/>
      <c r="I104" s="182"/>
      <c r="J104" s="182"/>
      <c r="K104" s="182"/>
      <c r="L104" s="182"/>
    </row>
    <row r="105" spans="1:12" ht="15" x14ac:dyDescent="0.25">
      <c r="A105" s="201"/>
      <c r="B105" s="203"/>
      <c r="C105" s="203"/>
      <c r="D105" s="203"/>
      <c r="E105" s="203"/>
      <c r="F105" s="201"/>
      <c r="G105" s="368"/>
      <c r="H105" s="182"/>
      <c r="I105" s="182"/>
      <c r="J105" s="182"/>
      <c r="K105" s="182"/>
      <c r="L105" s="182"/>
    </row>
    <row r="106" spans="1:12" ht="15" x14ac:dyDescent="0.25">
      <c r="A106" s="201"/>
      <c r="B106" s="203"/>
      <c r="C106" s="203"/>
      <c r="D106" s="203"/>
      <c r="E106" s="203"/>
      <c r="F106" s="201"/>
      <c r="G106" s="368"/>
      <c r="H106" s="182"/>
      <c r="I106" s="182"/>
      <c r="J106" s="182"/>
      <c r="K106" s="182"/>
      <c r="L106" s="182"/>
    </row>
    <row r="107" spans="1:12" ht="15" x14ac:dyDescent="0.25">
      <c r="A107" s="201"/>
      <c r="B107" s="203"/>
      <c r="C107" s="203"/>
      <c r="D107" s="203"/>
      <c r="E107" s="203"/>
      <c r="F107" s="201"/>
      <c r="G107" s="368"/>
      <c r="H107" s="182"/>
      <c r="I107" s="182"/>
      <c r="J107" s="182"/>
      <c r="K107" s="182"/>
      <c r="L107" s="182"/>
    </row>
    <row r="108" spans="1:12" ht="15" x14ac:dyDescent="0.25">
      <c r="A108" s="201"/>
      <c r="B108" s="203"/>
      <c r="C108" s="203"/>
      <c r="D108" s="203"/>
      <c r="E108" s="203"/>
      <c r="F108" s="201"/>
      <c r="G108" s="368"/>
      <c r="H108" s="182"/>
      <c r="I108" s="182"/>
      <c r="J108" s="182"/>
      <c r="K108" s="182"/>
      <c r="L108" s="182"/>
    </row>
    <row r="109" spans="1:12" ht="15" x14ac:dyDescent="0.25">
      <c r="A109" s="201"/>
      <c r="B109" s="201"/>
      <c r="C109" s="201"/>
      <c r="D109" s="201"/>
      <c r="E109" s="201"/>
      <c r="F109" s="201"/>
      <c r="G109" s="368"/>
      <c r="H109" s="182"/>
      <c r="I109" s="182"/>
      <c r="J109" s="182"/>
      <c r="K109" s="182"/>
      <c r="L109" s="182"/>
    </row>
    <row r="110" spans="1:12" ht="15" x14ac:dyDescent="0.25">
      <c r="A110" s="201"/>
      <c r="B110" s="203" t="s">
        <v>298</v>
      </c>
      <c r="C110" s="201"/>
      <c r="D110" s="201"/>
      <c r="E110" s="201"/>
      <c r="F110" s="201"/>
      <c r="G110" s="368"/>
      <c r="H110" s="182"/>
      <c r="I110" s="182"/>
      <c r="J110" s="182"/>
      <c r="K110" s="182"/>
      <c r="L110" s="182"/>
    </row>
    <row r="111" spans="1:12" ht="15" x14ac:dyDescent="0.25">
      <c r="A111" s="201"/>
      <c r="B111" s="201"/>
      <c r="C111" s="201"/>
      <c r="D111" s="201"/>
      <c r="E111" s="201"/>
      <c r="F111" s="201"/>
      <c r="G111" s="368"/>
      <c r="H111" s="182"/>
      <c r="I111" s="182"/>
      <c r="J111" s="182"/>
      <c r="K111" s="182"/>
      <c r="L111" s="182"/>
    </row>
    <row r="112" spans="1:12" ht="15" x14ac:dyDescent="0.25">
      <c r="A112" s="201"/>
      <c r="B112" s="203" t="s">
        <v>2594</v>
      </c>
      <c r="C112" s="201"/>
      <c r="D112" s="201"/>
      <c r="E112" s="201"/>
      <c r="F112" s="201"/>
      <c r="G112" s="368"/>
      <c r="H112" s="182"/>
      <c r="I112" s="182"/>
      <c r="J112" s="182"/>
      <c r="K112" s="182"/>
      <c r="L112" s="182"/>
    </row>
    <row r="113" spans="1:12" ht="15" x14ac:dyDescent="0.25">
      <c r="A113" s="201"/>
      <c r="B113" s="201"/>
      <c r="C113" s="201"/>
      <c r="D113" s="201"/>
      <c r="E113" s="201"/>
      <c r="F113" s="201"/>
      <c r="G113" s="368"/>
      <c r="H113" s="182"/>
      <c r="I113" s="182"/>
      <c r="J113" s="182"/>
      <c r="K113" s="182"/>
      <c r="L113" s="182"/>
    </row>
    <row r="114" spans="1:12" ht="15" x14ac:dyDescent="0.25">
      <c r="A114" s="201"/>
      <c r="B114" s="203" t="s">
        <v>291</v>
      </c>
      <c r="C114" s="369">
        <v>2024</v>
      </c>
      <c r="D114" s="275"/>
      <c r="E114" s="275"/>
      <c r="F114" s="275"/>
      <c r="G114" s="368"/>
      <c r="H114" s="182"/>
      <c r="I114" s="182"/>
      <c r="J114" s="182"/>
      <c r="K114" s="182"/>
      <c r="L114" s="182"/>
    </row>
    <row r="115" spans="1:12" ht="15" x14ac:dyDescent="0.25">
      <c r="A115" s="201"/>
      <c r="B115" s="203" t="s">
        <v>299</v>
      </c>
      <c r="C115" s="375">
        <v>162815430.25999999</v>
      </c>
      <c r="D115" s="376"/>
      <c r="E115" s="371"/>
      <c r="F115" s="377"/>
      <c r="G115" s="368"/>
      <c r="H115" s="182"/>
      <c r="I115" s="182"/>
      <c r="J115" s="182"/>
      <c r="K115" s="182"/>
      <c r="L115" s="182"/>
    </row>
    <row r="116" spans="1:12" ht="15" x14ac:dyDescent="0.25">
      <c r="A116" s="201"/>
      <c r="B116" s="203" t="s">
        <v>300</v>
      </c>
      <c r="C116" s="375">
        <v>675366.02</v>
      </c>
      <c r="D116" s="376"/>
      <c r="E116" s="371"/>
      <c r="F116" s="377"/>
      <c r="G116" s="368"/>
      <c r="H116" s="182"/>
      <c r="I116" s="182"/>
      <c r="J116" s="182"/>
      <c r="K116" s="182"/>
      <c r="L116" s="182"/>
    </row>
    <row r="117" spans="1:12" ht="15" x14ac:dyDescent="0.25">
      <c r="A117" s="201"/>
      <c r="B117" s="203" t="s">
        <v>301</v>
      </c>
      <c r="C117" s="375">
        <v>9208708.6999999993</v>
      </c>
      <c r="D117" s="376"/>
      <c r="E117" s="371"/>
      <c r="F117" s="377"/>
      <c r="G117" s="368"/>
      <c r="H117" s="182"/>
      <c r="I117" s="182"/>
      <c r="J117" s="182"/>
      <c r="K117" s="182"/>
      <c r="L117" s="182"/>
    </row>
    <row r="118" spans="1:12" ht="15" x14ac:dyDescent="0.25">
      <c r="A118" s="201"/>
      <c r="B118" s="203" t="s">
        <v>302</v>
      </c>
      <c r="C118" s="282">
        <f>SUM(C115:C117)</f>
        <v>172699504.97999999</v>
      </c>
      <c r="D118" s="288"/>
      <c r="E118" s="288"/>
      <c r="F118" s="378"/>
      <c r="G118" s="368"/>
      <c r="H118" s="182"/>
      <c r="I118" s="182"/>
      <c r="J118" s="182"/>
      <c r="K118" s="182"/>
      <c r="L118" s="182"/>
    </row>
    <row r="119" spans="1:12" ht="15" x14ac:dyDescent="0.25">
      <c r="A119" s="201"/>
      <c r="B119" s="201"/>
      <c r="C119" s="201"/>
      <c r="D119" s="201"/>
      <c r="E119" s="201"/>
      <c r="F119" s="201"/>
      <c r="G119" s="368"/>
      <c r="H119" s="182"/>
      <c r="I119" s="182"/>
      <c r="J119" s="182"/>
      <c r="K119" s="182"/>
      <c r="L119" s="182"/>
    </row>
    <row r="120" spans="1:12" ht="15" x14ac:dyDescent="0.25">
      <c r="A120" s="201"/>
      <c r="B120" s="201"/>
      <c r="C120" s="201"/>
      <c r="D120" s="201"/>
      <c r="E120" s="201"/>
      <c r="F120" s="201"/>
      <c r="G120" s="368"/>
      <c r="H120" s="182"/>
      <c r="I120" s="182"/>
      <c r="J120" s="182"/>
      <c r="K120" s="182"/>
      <c r="L120" s="182"/>
    </row>
    <row r="121" spans="1:12" ht="15" x14ac:dyDescent="0.25">
      <c r="A121" s="201"/>
      <c r="B121" s="203" t="s">
        <v>7</v>
      </c>
      <c r="C121" s="203"/>
      <c r="D121" s="203"/>
      <c r="E121" s="203"/>
      <c r="F121" s="201"/>
      <c r="G121" s="368"/>
      <c r="H121" s="182"/>
      <c r="I121" s="182"/>
      <c r="J121" s="182"/>
      <c r="K121" s="182"/>
      <c r="L121" s="182"/>
    </row>
    <row r="122" spans="1:12" ht="15" x14ac:dyDescent="0.25">
      <c r="A122" s="201"/>
      <c r="B122" s="203" t="s">
        <v>2595</v>
      </c>
      <c r="C122" s="203"/>
      <c r="D122" s="203"/>
      <c r="E122" s="203"/>
      <c r="F122" s="201"/>
      <c r="G122" s="368"/>
      <c r="H122" s="182"/>
      <c r="I122" s="182"/>
      <c r="J122" s="182"/>
      <c r="K122" s="182"/>
      <c r="L122" s="182"/>
    </row>
    <row r="123" spans="1:12" ht="15" x14ac:dyDescent="0.25">
      <c r="A123" s="201"/>
      <c r="B123" s="203"/>
      <c r="C123" s="203"/>
      <c r="D123" s="203"/>
      <c r="E123" s="203"/>
      <c r="F123" s="201"/>
      <c r="G123" s="368"/>
      <c r="H123" s="182"/>
      <c r="I123" s="182"/>
      <c r="J123" s="182"/>
      <c r="K123" s="182"/>
      <c r="L123" s="182"/>
    </row>
    <row r="124" spans="1:12" ht="15" x14ac:dyDescent="0.25">
      <c r="A124" s="201"/>
      <c r="B124" s="203"/>
      <c r="C124" s="203"/>
      <c r="D124" s="203"/>
      <c r="E124" s="203"/>
      <c r="F124" s="201"/>
      <c r="G124" s="368"/>
      <c r="H124" s="182"/>
      <c r="I124" s="182"/>
      <c r="J124" s="182"/>
      <c r="K124" s="182"/>
      <c r="L124" s="182"/>
    </row>
    <row r="125" spans="1:12" ht="15" x14ac:dyDescent="0.25">
      <c r="A125" s="201"/>
      <c r="B125" s="203" t="s">
        <v>7</v>
      </c>
      <c r="C125" s="203"/>
      <c r="D125" s="203"/>
      <c r="E125" s="203"/>
      <c r="F125" s="201"/>
      <c r="G125" s="368"/>
      <c r="H125" s="182"/>
      <c r="I125" s="182"/>
      <c r="J125" s="182"/>
      <c r="K125" s="182"/>
      <c r="L125" s="182"/>
    </row>
    <row r="126" spans="1:12" ht="15" x14ac:dyDescent="0.25">
      <c r="A126" s="201"/>
      <c r="B126" s="203"/>
      <c r="C126" s="203"/>
      <c r="D126" s="203"/>
      <c r="E126" s="203"/>
      <c r="F126" s="201"/>
      <c r="G126" s="368"/>
      <c r="H126" s="182"/>
      <c r="I126" s="182"/>
      <c r="J126" s="182"/>
      <c r="K126" s="182"/>
      <c r="L126" s="182"/>
    </row>
    <row r="127" spans="1:12" ht="15" x14ac:dyDescent="0.25">
      <c r="A127" s="201"/>
      <c r="B127" s="203"/>
      <c r="C127" s="203"/>
      <c r="D127" s="203"/>
      <c r="E127" s="203"/>
      <c r="F127" s="201"/>
      <c r="G127" s="368"/>
      <c r="H127" s="182"/>
      <c r="I127" s="182"/>
      <c r="J127" s="182"/>
      <c r="K127" s="182"/>
      <c r="L127" s="182"/>
    </row>
    <row r="128" spans="1:12" ht="15" x14ac:dyDescent="0.25">
      <c r="A128" s="201"/>
      <c r="B128" s="203"/>
      <c r="C128" s="203"/>
      <c r="D128" s="203"/>
      <c r="E128" s="203"/>
      <c r="F128" s="201"/>
      <c r="G128" s="368"/>
      <c r="H128" s="182"/>
      <c r="I128" s="182"/>
      <c r="J128" s="182"/>
      <c r="K128" s="182"/>
      <c r="L128" s="182"/>
    </row>
    <row r="129" spans="1:12" ht="15" x14ac:dyDescent="0.25">
      <c r="A129" s="201"/>
      <c r="B129" s="203"/>
      <c r="C129" s="203"/>
      <c r="D129" s="203"/>
      <c r="E129" s="203"/>
      <c r="F129" s="201"/>
      <c r="G129" s="368"/>
      <c r="H129" s="182"/>
      <c r="I129" s="182"/>
      <c r="J129" s="182"/>
      <c r="K129" s="182"/>
      <c r="L129" s="182"/>
    </row>
    <row r="130" spans="1:12" ht="15" x14ac:dyDescent="0.25">
      <c r="A130" s="201"/>
      <c r="B130" s="203"/>
      <c r="C130" s="203"/>
      <c r="D130" s="203"/>
      <c r="E130" s="203"/>
      <c r="F130" s="201"/>
      <c r="G130" s="368"/>
      <c r="H130" s="182"/>
      <c r="I130" s="182"/>
      <c r="J130" s="182"/>
      <c r="K130" s="182"/>
      <c r="L130" s="182"/>
    </row>
    <row r="131" spans="1:12" ht="15" x14ac:dyDescent="0.25">
      <c r="A131" s="201"/>
      <c r="B131" s="203"/>
      <c r="C131" s="203"/>
      <c r="D131" s="203"/>
      <c r="E131" s="203"/>
      <c r="F131" s="201"/>
      <c r="G131" s="368"/>
      <c r="H131" s="182"/>
      <c r="I131" s="182"/>
      <c r="J131" s="182"/>
      <c r="K131" s="182"/>
      <c r="L131" s="182"/>
    </row>
    <row r="132" spans="1:12" ht="15" x14ac:dyDescent="0.25">
      <c r="A132" s="201"/>
      <c r="B132" s="203"/>
      <c r="C132" s="203"/>
      <c r="D132" s="203"/>
      <c r="E132" s="203"/>
      <c r="F132" s="201"/>
      <c r="G132" s="368"/>
      <c r="H132" s="182"/>
      <c r="I132" s="182"/>
      <c r="J132" s="182"/>
      <c r="K132" s="182"/>
      <c r="L132" s="182"/>
    </row>
    <row r="133" spans="1:12" ht="15" x14ac:dyDescent="0.25">
      <c r="A133" s="201"/>
      <c r="B133" s="203"/>
      <c r="C133" s="203"/>
      <c r="D133" s="203"/>
      <c r="E133" s="203"/>
      <c r="F133" s="201"/>
      <c r="G133" s="368"/>
      <c r="H133" s="182"/>
      <c r="I133" s="182"/>
      <c r="J133" s="182"/>
      <c r="K133" s="182"/>
      <c r="L133" s="182"/>
    </row>
    <row r="134" spans="1:12" ht="15" x14ac:dyDescent="0.25">
      <c r="A134" s="201"/>
      <c r="B134" s="203"/>
      <c r="C134" s="203"/>
      <c r="D134" s="203"/>
      <c r="E134" s="203"/>
      <c r="F134" s="201"/>
      <c r="G134" s="368"/>
      <c r="H134" s="182"/>
      <c r="I134" s="182"/>
      <c r="J134" s="182"/>
      <c r="K134" s="182"/>
      <c r="L134" s="182"/>
    </row>
    <row r="135" spans="1:12" ht="15" x14ac:dyDescent="0.25">
      <c r="A135" s="201"/>
      <c r="B135" s="203"/>
      <c r="C135" s="203"/>
      <c r="D135" s="203"/>
      <c r="E135" s="203"/>
      <c r="F135" s="201"/>
      <c r="G135" s="368"/>
      <c r="H135" s="182"/>
      <c r="I135" s="182"/>
      <c r="J135" s="182"/>
      <c r="K135" s="182"/>
      <c r="L135" s="182"/>
    </row>
    <row r="136" spans="1:12" ht="15" x14ac:dyDescent="0.25">
      <c r="A136" s="201"/>
      <c r="B136" s="203"/>
      <c r="C136" s="203"/>
      <c r="D136" s="203"/>
      <c r="E136" s="203"/>
      <c r="F136" s="201"/>
      <c r="G136" s="368"/>
      <c r="H136" s="182"/>
      <c r="I136" s="182"/>
      <c r="J136" s="182"/>
      <c r="K136" s="182"/>
      <c r="L136" s="182"/>
    </row>
    <row r="137" spans="1:12" ht="15" x14ac:dyDescent="0.25">
      <c r="A137" s="201"/>
      <c r="B137" s="203"/>
      <c r="C137" s="203"/>
      <c r="D137" s="203"/>
      <c r="E137" s="203"/>
      <c r="F137" s="201"/>
      <c r="G137" s="368"/>
      <c r="H137" s="182"/>
      <c r="I137" s="182"/>
      <c r="J137" s="182"/>
      <c r="K137" s="182"/>
      <c r="L137" s="182"/>
    </row>
    <row r="138" spans="1:12" ht="15" x14ac:dyDescent="0.25">
      <c r="A138" s="201"/>
      <c r="B138" s="203"/>
      <c r="C138" s="203"/>
      <c r="D138" s="203"/>
      <c r="E138" s="203"/>
      <c r="F138" s="201"/>
      <c r="G138" s="368"/>
      <c r="H138" s="182"/>
      <c r="I138" s="182"/>
      <c r="J138" s="182"/>
      <c r="K138" s="182"/>
      <c r="L138" s="182"/>
    </row>
    <row r="139" spans="1:12" ht="15" x14ac:dyDescent="0.25">
      <c r="A139" s="201"/>
      <c r="B139" s="203"/>
      <c r="C139" s="203"/>
      <c r="D139" s="203"/>
      <c r="E139" s="203"/>
      <c r="F139" s="201"/>
      <c r="G139" s="368"/>
      <c r="H139" s="182"/>
      <c r="I139" s="182"/>
      <c r="J139" s="182"/>
      <c r="K139" s="182"/>
      <c r="L139" s="182"/>
    </row>
    <row r="140" spans="1:12" ht="15" x14ac:dyDescent="0.25">
      <c r="A140" s="201"/>
      <c r="B140" s="203"/>
      <c r="C140" s="203"/>
      <c r="D140" s="203"/>
      <c r="E140" s="203"/>
      <c r="F140" s="201"/>
      <c r="G140" s="368"/>
      <c r="H140" s="182"/>
      <c r="I140" s="182"/>
      <c r="J140" s="182"/>
      <c r="K140" s="182"/>
      <c r="L140" s="182"/>
    </row>
    <row r="141" spans="1:12" ht="15" x14ac:dyDescent="0.25">
      <c r="A141" s="201"/>
      <c r="B141" s="203"/>
      <c r="C141" s="203"/>
      <c r="D141" s="203"/>
      <c r="E141" s="203"/>
      <c r="F141" s="201"/>
      <c r="G141" s="368"/>
      <c r="H141" s="182"/>
      <c r="I141" s="182"/>
      <c r="J141" s="182"/>
      <c r="K141" s="182"/>
      <c r="L141" s="182"/>
    </row>
    <row r="142" spans="1:12" ht="15" x14ac:dyDescent="0.25">
      <c r="A142" s="201"/>
      <c r="B142" s="203"/>
      <c r="C142" s="203"/>
      <c r="D142" s="203"/>
      <c r="E142" s="203"/>
      <c r="F142" s="201"/>
      <c r="G142" s="368"/>
      <c r="H142" s="182"/>
      <c r="I142" s="182"/>
      <c r="J142" s="182"/>
      <c r="K142" s="182"/>
      <c r="L142" s="182"/>
    </row>
    <row r="143" spans="1:12" ht="15" x14ac:dyDescent="0.25">
      <c r="A143" s="201"/>
      <c r="B143" s="203"/>
      <c r="C143" s="203"/>
      <c r="D143" s="203"/>
      <c r="E143" s="203"/>
      <c r="F143" s="201"/>
      <c r="G143" s="368"/>
      <c r="H143" s="182"/>
      <c r="I143" s="182"/>
      <c r="J143" s="182"/>
      <c r="K143" s="182"/>
      <c r="L143" s="182"/>
    </row>
    <row r="144" spans="1:12" ht="15" x14ac:dyDescent="0.25">
      <c r="A144" s="201"/>
      <c r="B144" s="203" t="s">
        <v>303</v>
      </c>
      <c r="C144" s="201"/>
      <c r="D144" s="201"/>
      <c r="E144" s="201"/>
      <c r="F144" s="201"/>
      <c r="G144" s="368"/>
      <c r="H144" s="182"/>
      <c r="I144" s="182"/>
      <c r="J144" s="182"/>
      <c r="K144" s="182"/>
      <c r="L144" s="182"/>
    </row>
    <row r="145" spans="1:12" ht="15" x14ac:dyDescent="0.25">
      <c r="A145" s="201"/>
      <c r="B145" s="201"/>
      <c r="C145" s="201"/>
      <c r="D145" s="201"/>
      <c r="E145" s="201"/>
      <c r="F145" s="201"/>
      <c r="G145" s="368"/>
      <c r="H145" s="182"/>
      <c r="I145" s="182"/>
      <c r="J145" s="182"/>
      <c r="K145" s="182"/>
      <c r="L145" s="182"/>
    </row>
    <row r="146" spans="1:12" ht="15" x14ac:dyDescent="0.25">
      <c r="A146" s="201"/>
      <c r="B146" s="203" t="s">
        <v>304</v>
      </c>
      <c r="C146" s="201"/>
      <c r="D146" s="201"/>
      <c r="E146" s="201"/>
      <c r="F146" s="201"/>
      <c r="G146" s="368"/>
      <c r="H146" s="182"/>
      <c r="I146" s="182"/>
      <c r="J146" s="182"/>
      <c r="K146" s="182"/>
      <c r="L146" s="182"/>
    </row>
    <row r="147" spans="1:12" ht="15" x14ac:dyDescent="0.25">
      <c r="A147" s="201"/>
      <c r="B147" s="201"/>
      <c r="C147" s="369">
        <v>2024</v>
      </c>
      <c r="D147" s="275"/>
      <c r="E147" s="275"/>
      <c r="F147" s="275"/>
      <c r="G147" s="368"/>
      <c r="H147" s="182"/>
      <c r="I147" s="182"/>
      <c r="J147" s="182"/>
      <c r="K147" s="182"/>
      <c r="L147" s="182"/>
    </row>
    <row r="148" spans="1:12" ht="15" x14ac:dyDescent="0.25">
      <c r="A148" s="201"/>
      <c r="B148" s="379" t="s">
        <v>305</v>
      </c>
      <c r="C148" s="370">
        <v>67274064.129999995</v>
      </c>
      <c r="D148" s="371"/>
      <c r="E148" s="380"/>
      <c r="F148" s="377"/>
      <c r="G148" s="368"/>
      <c r="H148" s="182"/>
      <c r="I148" s="182"/>
      <c r="J148" s="182"/>
      <c r="K148" s="182"/>
      <c r="L148" s="182"/>
    </row>
    <row r="149" spans="1:12" ht="15" x14ac:dyDescent="0.25">
      <c r="A149" s="201"/>
      <c r="B149" s="379" t="s">
        <v>306</v>
      </c>
      <c r="C149" s="370">
        <v>42916342.789999999</v>
      </c>
      <c r="D149" s="371"/>
      <c r="E149" s="380"/>
      <c r="F149" s="377"/>
      <c r="G149" s="368"/>
      <c r="H149" s="182"/>
      <c r="I149" s="182"/>
      <c r="J149" s="182"/>
      <c r="K149" s="182"/>
      <c r="L149" s="182"/>
    </row>
    <row r="150" spans="1:12" ht="15" x14ac:dyDescent="0.25">
      <c r="A150" s="201"/>
      <c r="B150" s="379" t="s">
        <v>307</v>
      </c>
      <c r="C150" s="370">
        <v>0</v>
      </c>
      <c r="D150" s="371"/>
      <c r="E150" s="380"/>
      <c r="F150" s="377"/>
      <c r="G150" s="368"/>
      <c r="H150" s="182"/>
      <c r="I150" s="182"/>
      <c r="J150" s="182"/>
      <c r="K150" s="182"/>
      <c r="L150" s="182"/>
    </row>
    <row r="151" spans="1:12" ht="15" x14ac:dyDescent="0.25">
      <c r="A151" s="201"/>
      <c r="B151" s="379" t="s">
        <v>308</v>
      </c>
      <c r="C151" s="370">
        <v>20777647.949999999</v>
      </c>
      <c r="D151" s="371"/>
      <c r="E151" s="380"/>
      <c r="F151" s="377"/>
      <c r="G151" s="368"/>
      <c r="H151" s="182"/>
      <c r="I151" s="182"/>
      <c r="J151" s="182"/>
      <c r="K151" s="182"/>
      <c r="L151" s="182"/>
    </row>
    <row r="152" spans="1:12" ht="15" x14ac:dyDescent="0.25">
      <c r="A152" s="201"/>
      <c r="B152" s="379" t="s">
        <v>309</v>
      </c>
      <c r="C152" s="370">
        <v>6861120.2000000002</v>
      </c>
      <c r="D152" s="371"/>
      <c r="E152" s="380"/>
      <c r="F152" s="377"/>
      <c r="G152" s="368"/>
      <c r="H152" s="182"/>
      <c r="I152" s="182"/>
      <c r="J152" s="182"/>
      <c r="K152" s="182"/>
      <c r="L152" s="182"/>
    </row>
    <row r="153" spans="1:12" ht="15" x14ac:dyDescent="0.25">
      <c r="A153" s="201"/>
      <c r="B153" s="381" t="s">
        <v>310</v>
      </c>
      <c r="C153" s="370">
        <v>8373471.7199999997</v>
      </c>
      <c r="D153" s="371"/>
      <c r="E153" s="380"/>
      <c r="F153" s="377"/>
      <c r="G153" s="368"/>
      <c r="H153" s="182"/>
      <c r="I153" s="182"/>
      <c r="J153" s="182"/>
      <c r="K153" s="182"/>
      <c r="L153" s="182"/>
    </row>
    <row r="154" spans="1:12" ht="15" x14ac:dyDescent="0.25">
      <c r="A154" s="201"/>
      <c r="B154" s="379" t="s">
        <v>311</v>
      </c>
      <c r="C154" s="370">
        <v>11031404.220000001</v>
      </c>
      <c r="D154" s="371"/>
      <c r="E154" s="380"/>
      <c r="F154" s="377"/>
      <c r="G154" s="368"/>
      <c r="H154" s="182"/>
      <c r="I154" s="182"/>
      <c r="J154" s="182"/>
      <c r="K154" s="182"/>
      <c r="L154" s="182"/>
    </row>
    <row r="155" spans="1:12" ht="15" x14ac:dyDescent="0.25">
      <c r="A155" s="201"/>
      <c r="B155" s="379" t="s">
        <v>312</v>
      </c>
      <c r="C155" s="370">
        <v>309383.53999999998</v>
      </c>
      <c r="D155" s="371"/>
      <c r="E155" s="380"/>
      <c r="F155" s="377"/>
      <c r="G155" s="368"/>
      <c r="H155" s="182"/>
      <c r="I155" s="182"/>
      <c r="J155" s="182"/>
      <c r="K155" s="182"/>
      <c r="L155" s="182"/>
    </row>
    <row r="156" spans="1:12" ht="15" x14ac:dyDescent="0.25">
      <c r="A156" s="201"/>
      <c r="B156" s="379" t="s">
        <v>313</v>
      </c>
      <c r="C156" s="370">
        <v>636169.65</v>
      </c>
      <c r="D156" s="371"/>
      <c r="E156" s="380"/>
      <c r="F156" s="377"/>
      <c r="G156" s="368"/>
      <c r="H156" s="182"/>
      <c r="I156" s="182"/>
      <c r="J156" s="182"/>
      <c r="K156" s="182"/>
      <c r="L156" s="182"/>
    </row>
    <row r="157" spans="1:12" ht="15" x14ac:dyDescent="0.25">
      <c r="A157" s="201"/>
      <c r="B157" s="379" t="s">
        <v>314</v>
      </c>
      <c r="C157" s="370">
        <v>321821.21000000002</v>
      </c>
      <c r="D157" s="371"/>
      <c r="E157" s="380"/>
      <c r="F157" s="377"/>
      <c r="G157" s="368"/>
      <c r="H157" s="182"/>
      <c r="I157" s="182"/>
      <c r="J157" s="182"/>
      <c r="K157" s="182"/>
      <c r="L157" s="182"/>
    </row>
    <row r="158" spans="1:12" ht="15" x14ac:dyDescent="0.25">
      <c r="A158" s="201"/>
      <c r="B158" s="379" t="s">
        <v>315</v>
      </c>
      <c r="C158" s="370">
        <v>0</v>
      </c>
      <c r="D158" s="371"/>
      <c r="E158" s="380"/>
      <c r="F158" s="377"/>
      <c r="G158" s="368"/>
      <c r="H158" s="182"/>
      <c r="I158" s="182"/>
      <c r="J158" s="182"/>
      <c r="K158" s="182"/>
      <c r="L158" s="182"/>
    </row>
    <row r="159" spans="1:12" ht="15" x14ac:dyDescent="0.25">
      <c r="A159" s="201"/>
      <c r="B159" s="379" t="s">
        <v>316</v>
      </c>
      <c r="C159" s="370">
        <v>2087210.93</v>
      </c>
      <c r="D159" s="371"/>
      <c r="E159" s="380"/>
      <c r="F159" s="377"/>
      <c r="G159" s="368"/>
      <c r="H159" s="182"/>
      <c r="I159" s="182"/>
      <c r="J159" s="182"/>
      <c r="K159" s="182"/>
      <c r="L159" s="182"/>
    </row>
    <row r="160" spans="1:12" ht="15" x14ac:dyDescent="0.25">
      <c r="A160" s="201"/>
      <c r="B160" s="379" t="s">
        <v>317</v>
      </c>
      <c r="C160" s="370">
        <v>1000</v>
      </c>
      <c r="D160" s="371"/>
      <c r="E160" s="380"/>
      <c r="F160" s="377"/>
      <c r="G160" s="368"/>
      <c r="H160" s="182"/>
      <c r="I160" s="182"/>
      <c r="J160" s="182"/>
      <c r="K160" s="182"/>
      <c r="L160" s="182"/>
    </row>
    <row r="161" spans="1:12" ht="15" x14ac:dyDescent="0.25">
      <c r="A161" s="201"/>
      <c r="B161" s="379" t="s">
        <v>318</v>
      </c>
      <c r="C161" s="370">
        <v>39615.769999999997</v>
      </c>
      <c r="D161" s="371"/>
      <c r="E161" s="380"/>
      <c r="F161" s="377"/>
      <c r="G161" s="368"/>
      <c r="H161" s="182"/>
      <c r="I161" s="182"/>
      <c r="J161" s="182"/>
      <c r="K161" s="182"/>
      <c r="L161" s="182"/>
    </row>
    <row r="162" spans="1:12" ht="15" x14ac:dyDescent="0.25">
      <c r="A162" s="201"/>
      <c r="B162" s="379" t="s">
        <v>319</v>
      </c>
      <c r="C162" s="370">
        <v>35286.42</v>
      </c>
      <c r="D162" s="371"/>
      <c r="E162" s="380"/>
      <c r="F162" s="377"/>
      <c r="G162" s="368"/>
      <c r="H162" s="182"/>
      <c r="I162" s="182"/>
      <c r="J162" s="182"/>
      <c r="K162" s="182"/>
      <c r="L162" s="182"/>
    </row>
    <row r="163" spans="1:12" ht="15" x14ac:dyDescent="0.25">
      <c r="A163" s="201"/>
      <c r="B163" s="379" t="s">
        <v>320</v>
      </c>
      <c r="C163" s="370">
        <v>201285.99</v>
      </c>
      <c r="D163" s="371"/>
      <c r="E163" s="380"/>
      <c r="F163" s="377"/>
      <c r="G163" s="368"/>
      <c r="H163" s="182"/>
      <c r="I163" s="182"/>
      <c r="J163" s="182"/>
      <c r="K163" s="182"/>
      <c r="L163" s="182"/>
    </row>
    <row r="164" spans="1:12" ht="15" x14ac:dyDescent="0.25">
      <c r="A164" s="201"/>
      <c r="B164" s="379" t="s">
        <v>321</v>
      </c>
      <c r="C164" s="370">
        <v>1000</v>
      </c>
      <c r="D164" s="371"/>
      <c r="E164" s="380"/>
      <c r="F164" s="377"/>
      <c r="G164" s="368"/>
      <c r="H164" s="182"/>
      <c r="I164" s="182"/>
      <c r="J164" s="182"/>
      <c r="K164" s="182"/>
      <c r="L164" s="182"/>
    </row>
    <row r="165" spans="1:12" ht="15" x14ac:dyDescent="0.25">
      <c r="A165" s="201"/>
      <c r="B165" s="379" t="s">
        <v>322</v>
      </c>
      <c r="C165" s="370">
        <v>643453.48</v>
      </c>
      <c r="D165" s="371"/>
      <c r="E165" s="380"/>
      <c r="F165" s="377"/>
      <c r="G165" s="368"/>
      <c r="H165" s="182"/>
      <c r="I165" s="182"/>
      <c r="J165" s="182"/>
      <c r="K165" s="182"/>
      <c r="L165" s="182"/>
    </row>
    <row r="166" spans="1:12" ht="15" x14ac:dyDescent="0.25">
      <c r="A166" s="201"/>
      <c r="B166" s="379" t="s">
        <v>323</v>
      </c>
      <c r="C166" s="370">
        <v>253178.31</v>
      </c>
      <c r="D166" s="371"/>
      <c r="E166" s="380"/>
      <c r="F166" s="377"/>
      <c r="G166" s="368"/>
      <c r="H166" s="182"/>
      <c r="I166" s="182"/>
      <c r="J166" s="182"/>
      <c r="K166" s="182"/>
      <c r="L166" s="182"/>
    </row>
    <row r="167" spans="1:12" ht="15" x14ac:dyDescent="0.25">
      <c r="A167" s="201"/>
      <c r="B167" s="379" t="s">
        <v>324</v>
      </c>
      <c r="C167" s="370">
        <v>0</v>
      </c>
      <c r="D167" s="371"/>
      <c r="E167" s="380"/>
      <c r="F167" s="377"/>
      <c r="G167" s="368"/>
      <c r="H167" s="182"/>
      <c r="I167" s="182"/>
      <c r="J167" s="182"/>
      <c r="K167" s="182"/>
      <c r="L167" s="182"/>
    </row>
    <row r="168" spans="1:12" ht="15" x14ac:dyDescent="0.25">
      <c r="A168" s="201"/>
      <c r="B168" s="379" t="s">
        <v>325</v>
      </c>
      <c r="C168" s="370">
        <v>598571.82999999996</v>
      </c>
      <c r="D168" s="371"/>
      <c r="E168" s="380"/>
      <c r="F168" s="377"/>
      <c r="G168" s="368"/>
      <c r="H168" s="182"/>
      <c r="I168" s="182"/>
      <c r="J168" s="182"/>
      <c r="K168" s="182"/>
      <c r="L168" s="182"/>
    </row>
    <row r="169" spans="1:12" ht="15" x14ac:dyDescent="0.25">
      <c r="A169" s="201"/>
      <c r="B169" s="379" t="s">
        <v>326</v>
      </c>
      <c r="C169" s="370">
        <v>191288.21</v>
      </c>
      <c r="D169" s="371"/>
      <c r="E169" s="380"/>
      <c r="F169" s="377"/>
      <c r="G169" s="368"/>
      <c r="H169" s="182"/>
      <c r="I169" s="182"/>
      <c r="J169" s="182"/>
      <c r="K169" s="182"/>
      <c r="L169" s="182"/>
    </row>
    <row r="170" spans="1:12" ht="15" x14ac:dyDescent="0.25">
      <c r="A170" s="201"/>
      <c r="B170" s="379" t="s">
        <v>327</v>
      </c>
      <c r="C170" s="370">
        <v>262113.91</v>
      </c>
      <c r="D170" s="371"/>
      <c r="E170" s="380"/>
      <c r="F170" s="377"/>
      <c r="G170" s="368"/>
      <c r="H170" s="182"/>
      <c r="I170" s="182"/>
      <c r="J170" s="182"/>
      <c r="K170" s="182"/>
      <c r="L170" s="182"/>
    </row>
    <row r="171" spans="1:12" ht="15" x14ac:dyDescent="0.25">
      <c r="A171" s="201"/>
      <c r="B171" s="379" t="s">
        <v>328</v>
      </c>
      <c r="C171" s="279">
        <f>SUM(C148:C170)</f>
        <v>162815430.26000002</v>
      </c>
      <c r="D171" s="280"/>
      <c r="E171" s="382"/>
      <c r="F171" s="378"/>
      <c r="G171" s="368"/>
      <c r="H171" s="182"/>
      <c r="I171" s="182"/>
      <c r="J171" s="182"/>
      <c r="K171" s="182"/>
      <c r="L171" s="182"/>
    </row>
    <row r="172" spans="1:12" ht="15" x14ac:dyDescent="0.25">
      <c r="A172" s="201"/>
      <c r="B172" s="201"/>
      <c r="C172" s="201"/>
      <c r="D172" s="201"/>
      <c r="E172" s="201"/>
      <c r="F172" s="201"/>
      <c r="G172" s="368"/>
      <c r="H172" s="182"/>
      <c r="I172" s="182"/>
      <c r="J172" s="182"/>
      <c r="K172" s="182"/>
      <c r="L172" s="182"/>
    </row>
    <row r="173" spans="1:12" ht="15" x14ac:dyDescent="0.25">
      <c r="A173" s="201"/>
      <c r="B173" s="379" t="s">
        <v>2596</v>
      </c>
      <c r="C173" s="203"/>
      <c r="D173" s="203"/>
      <c r="E173" s="203"/>
      <c r="F173" s="201"/>
      <c r="G173" s="368"/>
      <c r="H173" s="182"/>
      <c r="I173" s="182"/>
      <c r="J173" s="182"/>
      <c r="K173" s="182"/>
      <c r="L173" s="182"/>
    </row>
    <row r="174" spans="1:12" ht="15" x14ac:dyDescent="0.25">
      <c r="A174" s="201"/>
      <c r="B174" s="379"/>
      <c r="C174" s="203"/>
      <c r="D174" s="203"/>
      <c r="E174" s="203"/>
      <c r="F174" s="201"/>
      <c r="G174" s="368"/>
      <c r="H174" s="182"/>
      <c r="I174" s="182"/>
      <c r="J174" s="182"/>
      <c r="K174" s="182"/>
      <c r="L174" s="182"/>
    </row>
    <row r="175" spans="1:12" ht="15" x14ac:dyDescent="0.25">
      <c r="A175" s="201"/>
      <c r="B175" s="379"/>
      <c r="C175" s="203"/>
      <c r="D175" s="203"/>
      <c r="E175" s="203"/>
      <c r="F175" s="201"/>
      <c r="G175" s="368"/>
      <c r="H175" s="182"/>
      <c r="I175" s="182"/>
      <c r="J175" s="182"/>
      <c r="K175" s="182"/>
      <c r="L175" s="182"/>
    </row>
    <row r="176" spans="1:12" ht="15" x14ac:dyDescent="0.25">
      <c r="A176" s="201"/>
      <c r="B176" s="383"/>
      <c r="C176" s="201"/>
      <c r="D176" s="201"/>
      <c r="E176" s="201"/>
      <c r="F176" s="201"/>
      <c r="G176" s="368"/>
      <c r="H176" s="182"/>
      <c r="I176" s="182"/>
      <c r="J176" s="182"/>
      <c r="K176" s="182"/>
      <c r="L176" s="182"/>
    </row>
    <row r="177" spans="1:12" ht="15" x14ac:dyDescent="0.25">
      <c r="A177" s="201"/>
      <c r="B177" s="383"/>
      <c r="C177" s="201"/>
      <c r="D177" s="201"/>
      <c r="E177" s="201"/>
      <c r="F177" s="201"/>
      <c r="G177" s="368"/>
      <c r="H177" s="182"/>
      <c r="I177" s="182"/>
      <c r="J177" s="182"/>
      <c r="K177" s="182"/>
      <c r="L177" s="182"/>
    </row>
    <row r="178" spans="1:12" ht="15" x14ac:dyDescent="0.25">
      <c r="A178" s="201"/>
      <c r="B178" s="203" t="s">
        <v>329</v>
      </c>
      <c r="C178" s="201"/>
      <c r="D178" s="201"/>
      <c r="E178" s="201"/>
      <c r="F178" s="201"/>
      <c r="G178" s="368"/>
      <c r="H178" s="182"/>
      <c r="I178" s="182"/>
      <c r="J178" s="182"/>
      <c r="K178" s="182"/>
      <c r="L178" s="182"/>
    </row>
    <row r="179" spans="1:12" ht="15" x14ac:dyDescent="0.25">
      <c r="A179" s="201"/>
      <c r="B179" s="201"/>
      <c r="C179" s="201"/>
      <c r="D179" s="201"/>
      <c r="E179" s="201"/>
      <c r="F179" s="201"/>
      <c r="G179" s="368"/>
      <c r="H179" s="182"/>
      <c r="I179" s="182"/>
      <c r="J179" s="182"/>
      <c r="K179" s="182"/>
      <c r="L179" s="182"/>
    </row>
    <row r="180" spans="1:12" ht="15" x14ac:dyDescent="0.25">
      <c r="A180" s="201"/>
      <c r="B180" s="203" t="s">
        <v>2597</v>
      </c>
      <c r="C180" s="203"/>
      <c r="D180" s="203"/>
      <c r="E180" s="203"/>
      <c r="F180" s="201"/>
      <c r="G180" s="368"/>
      <c r="H180" s="182"/>
      <c r="I180" s="182"/>
      <c r="J180" s="182"/>
      <c r="K180" s="182"/>
      <c r="L180" s="182"/>
    </row>
    <row r="181" spans="1:12" ht="15" x14ac:dyDescent="0.25">
      <c r="A181" s="203"/>
      <c r="B181" s="203"/>
      <c r="C181" s="203"/>
      <c r="D181" s="203"/>
      <c r="E181" s="203"/>
      <c r="F181" s="201"/>
      <c r="G181" s="368"/>
      <c r="H181" s="182"/>
      <c r="I181" s="182"/>
      <c r="J181" s="182"/>
      <c r="K181" s="182"/>
      <c r="L181" s="182"/>
    </row>
    <row r="182" spans="1:12" ht="15" x14ac:dyDescent="0.25">
      <c r="A182" s="201"/>
      <c r="B182" s="201"/>
      <c r="C182" s="201"/>
      <c r="D182" s="201"/>
      <c r="E182" s="201"/>
      <c r="F182" s="201"/>
      <c r="G182" s="368"/>
      <c r="H182" s="182"/>
      <c r="I182" s="182"/>
      <c r="J182" s="182"/>
      <c r="K182" s="182"/>
      <c r="L182" s="182"/>
    </row>
    <row r="183" spans="1:12" ht="15" x14ac:dyDescent="0.25">
      <c r="A183" s="201"/>
      <c r="B183" s="203" t="s">
        <v>291</v>
      </c>
      <c r="C183" s="369">
        <v>2024</v>
      </c>
      <c r="D183" s="275"/>
      <c r="E183" s="275"/>
      <c r="F183" s="275"/>
      <c r="G183" s="368"/>
      <c r="H183" s="182"/>
      <c r="I183" s="182"/>
      <c r="J183" s="182"/>
      <c r="K183" s="182"/>
      <c r="L183" s="182"/>
    </row>
    <row r="184" spans="1:12" ht="15" x14ac:dyDescent="0.25">
      <c r="A184" s="201"/>
      <c r="B184" s="379" t="s">
        <v>330</v>
      </c>
      <c r="C184" s="370">
        <v>0</v>
      </c>
      <c r="D184" s="371"/>
      <c r="E184" s="372"/>
      <c r="F184" s="373"/>
      <c r="G184" s="368"/>
      <c r="H184" s="182"/>
      <c r="I184" s="182"/>
      <c r="J184" s="182"/>
      <c r="K184" s="182"/>
      <c r="L184" s="182"/>
    </row>
    <row r="185" spans="1:12" ht="15" x14ac:dyDescent="0.25">
      <c r="A185" s="201"/>
      <c r="B185" s="379" t="s">
        <v>331</v>
      </c>
      <c r="C185" s="370">
        <v>457266.02</v>
      </c>
      <c r="D185" s="371"/>
      <c r="E185" s="372"/>
      <c r="F185" s="373"/>
      <c r="G185" s="368"/>
      <c r="H185" s="182"/>
      <c r="I185" s="182"/>
      <c r="J185" s="182"/>
      <c r="K185" s="182"/>
      <c r="L185" s="182"/>
    </row>
    <row r="186" spans="1:12" ht="15" x14ac:dyDescent="0.25">
      <c r="A186" s="203"/>
      <c r="B186" s="379" t="s">
        <v>332</v>
      </c>
      <c r="C186" s="370">
        <v>0</v>
      </c>
      <c r="D186" s="371"/>
      <c r="E186" s="372"/>
      <c r="F186" s="373"/>
      <c r="G186" s="368"/>
      <c r="H186" s="182"/>
      <c r="I186" s="182"/>
      <c r="J186" s="182"/>
      <c r="K186" s="182"/>
      <c r="L186" s="182"/>
    </row>
    <row r="187" spans="1:12" ht="15" x14ac:dyDescent="0.25">
      <c r="A187" s="201"/>
      <c r="B187" s="379" t="s">
        <v>333</v>
      </c>
      <c r="C187" s="370">
        <v>0</v>
      </c>
      <c r="D187" s="371"/>
      <c r="E187" s="372"/>
      <c r="F187" s="373"/>
      <c r="G187" s="368"/>
      <c r="H187" s="182"/>
      <c r="I187" s="182"/>
      <c r="J187" s="182"/>
      <c r="K187" s="182"/>
      <c r="L187" s="182"/>
    </row>
    <row r="188" spans="1:12" ht="15" x14ac:dyDescent="0.25">
      <c r="A188" s="201"/>
      <c r="B188" s="379" t="s">
        <v>334</v>
      </c>
      <c r="C188" s="370">
        <v>0</v>
      </c>
      <c r="D188" s="371"/>
      <c r="E188" s="372"/>
      <c r="F188" s="373"/>
      <c r="G188" s="368"/>
      <c r="H188" s="182"/>
      <c r="I188" s="182"/>
      <c r="J188" s="182"/>
      <c r="K188" s="182"/>
      <c r="L188" s="182"/>
    </row>
    <row r="189" spans="1:12" ht="15" x14ac:dyDescent="0.25">
      <c r="A189" s="201"/>
      <c r="B189" s="379" t="s">
        <v>335</v>
      </c>
      <c r="C189" s="370">
        <v>0</v>
      </c>
      <c r="D189" s="371"/>
      <c r="E189" s="372"/>
      <c r="F189" s="373"/>
      <c r="G189" s="368"/>
      <c r="H189" s="182"/>
      <c r="I189" s="182"/>
      <c r="J189" s="182"/>
      <c r="K189" s="182"/>
      <c r="L189" s="182"/>
    </row>
    <row r="190" spans="1:12" ht="15" x14ac:dyDescent="0.25">
      <c r="A190" s="201"/>
      <c r="B190" s="379" t="s">
        <v>336</v>
      </c>
      <c r="C190" s="370">
        <v>218100</v>
      </c>
      <c r="D190" s="371"/>
      <c r="E190" s="372"/>
      <c r="F190" s="373"/>
      <c r="G190" s="368"/>
      <c r="H190" s="182"/>
      <c r="I190" s="182"/>
      <c r="J190" s="182"/>
      <c r="K190" s="182"/>
      <c r="L190" s="182"/>
    </row>
    <row r="191" spans="1:12" ht="15" x14ac:dyDescent="0.25">
      <c r="A191" s="201"/>
      <c r="B191" s="379" t="s">
        <v>337</v>
      </c>
      <c r="C191" s="370">
        <v>0</v>
      </c>
      <c r="D191" s="371"/>
      <c r="E191" s="372"/>
      <c r="F191" s="373"/>
      <c r="G191" s="368"/>
      <c r="H191" s="182"/>
      <c r="I191" s="182"/>
      <c r="J191" s="182"/>
      <c r="K191" s="182"/>
      <c r="L191" s="182"/>
    </row>
    <row r="192" spans="1:12" ht="15" x14ac:dyDescent="0.25">
      <c r="A192" s="201"/>
      <c r="B192" s="379" t="s">
        <v>338</v>
      </c>
      <c r="C192" s="370">
        <v>0</v>
      </c>
      <c r="D192" s="371"/>
      <c r="E192" s="372"/>
      <c r="F192" s="373"/>
      <c r="G192" s="368"/>
      <c r="H192" s="182"/>
      <c r="I192" s="182"/>
      <c r="J192" s="182"/>
      <c r="K192" s="182"/>
      <c r="L192" s="182"/>
    </row>
    <row r="193" spans="1:12" ht="15" x14ac:dyDescent="0.25">
      <c r="A193" s="201"/>
      <c r="B193" s="379" t="s">
        <v>339</v>
      </c>
      <c r="C193" s="279">
        <f>SUM(C184:C192)</f>
        <v>675366.02</v>
      </c>
      <c r="D193" s="280"/>
      <c r="E193" s="384"/>
      <c r="F193" s="385"/>
      <c r="G193" s="368"/>
      <c r="H193" s="182"/>
      <c r="I193" s="182"/>
      <c r="J193" s="182"/>
      <c r="K193" s="182"/>
      <c r="L193" s="182"/>
    </row>
    <row r="194" spans="1:12" ht="15" x14ac:dyDescent="0.25">
      <c r="A194" s="201"/>
      <c r="B194" s="201"/>
      <c r="C194" s="201"/>
      <c r="D194" s="201"/>
      <c r="E194" s="201"/>
      <c r="F194" s="201"/>
      <c r="G194" s="368"/>
      <c r="H194" s="182"/>
      <c r="I194" s="182"/>
      <c r="J194" s="182"/>
      <c r="K194" s="182"/>
      <c r="L194" s="182"/>
    </row>
    <row r="195" spans="1:12" ht="15" x14ac:dyDescent="0.25">
      <c r="A195" s="201"/>
      <c r="B195" s="201"/>
      <c r="C195" s="201"/>
      <c r="D195" s="201"/>
      <c r="E195" s="201"/>
      <c r="F195" s="201"/>
      <c r="G195" s="368"/>
      <c r="H195" s="182"/>
      <c r="I195" s="182"/>
      <c r="J195" s="182"/>
      <c r="K195" s="182"/>
      <c r="L195" s="182"/>
    </row>
    <row r="196" spans="1:12" ht="15" x14ac:dyDescent="0.25">
      <c r="A196" s="201"/>
      <c r="B196" s="201"/>
      <c r="C196" s="201"/>
      <c r="D196" s="201"/>
      <c r="E196" s="201"/>
      <c r="F196" s="201"/>
      <c r="G196" s="368"/>
      <c r="H196" s="182"/>
      <c r="I196" s="182"/>
      <c r="J196" s="182"/>
      <c r="K196" s="182"/>
      <c r="L196" s="182"/>
    </row>
    <row r="197" spans="1:12" ht="15" x14ac:dyDescent="0.25">
      <c r="A197" s="201"/>
      <c r="B197" s="201"/>
      <c r="C197" s="201"/>
      <c r="D197" s="201"/>
      <c r="E197" s="201"/>
      <c r="F197" s="201"/>
      <c r="G197" s="368"/>
      <c r="H197" s="182"/>
      <c r="I197" s="182"/>
      <c r="J197" s="182"/>
      <c r="K197" s="182"/>
      <c r="L197" s="182"/>
    </row>
    <row r="198" spans="1:12" ht="15" x14ac:dyDescent="0.25">
      <c r="A198" s="201"/>
      <c r="B198" s="201"/>
      <c r="C198" s="201"/>
      <c r="D198" s="201"/>
      <c r="E198" s="201"/>
      <c r="F198" s="201"/>
      <c r="G198" s="368"/>
      <c r="H198" s="182"/>
      <c r="I198" s="182"/>
      <c r="J198" s="182"/>
      <c r="K198" s="182"/>
      <c r="L198" s="182"/>
    </row>
    <row r="199" spans="1:12" ht="15" x14ac:dyDescent="0.25">
      <c r="A199" s="201"/>
      <c r="B199" s="201"/>
      <c r="C199" s="201"/>
      <c r="D199" s="201"/>
      <c r="E199" s="201"/>
      <c r="F199" s="201"/>
      <c r="G199" s="368"/>
      <c r="H199" s="182"/>
      <c r="I199" s="182"/>
      <c r="J199" s="182"/>
      <c r="K199" s="182"/>
      <c r="L199" s="182"/>
    </row>
    <row r="200" spans="1:12" ht="15" x14ac:dyDescent="0.25">
      <c r="A200" s="201"/>
      <c r="B200" s="201"/>
      <c r="C200" s="201"/>
      <c r="D200" s="201"/>
      <c r="E200" s="201"/>
      <c r="F200" s="201"/>
      <c r="G200" s="368"/>
      <c r="H200" s="182"/>
      <c r="I200" s="182"/>
      <c r="J200" s="182"/>
      <c r="K200" s="182"/>
      <c r="L200" s="182"/>
    </row>
    <row r="201" spans="1:12" ht="15" x14ac:dyDescent="0.25">
      <c r="A201" s="201"/>
      <c r="B201" s="201"/>
      <c r="C201" s="201"/>
      <c r="D201" s="201"/>
      <c r="E201" s="201"/>
      <c r="F201" s="201"/>
      <c r="G201" s="368"/>
      <c r="H201" s="182"/>
      <c r="I201" s="182"/>
      <c r="J201" s="182"/>
      <c r="K201" s="182"/>
      <c r="L201" s="182"/>
    </row>
    <row r="202" spans="1:12" ht="15" x14ac:dyDescent="0.25">
      <c r="A202" s="201"/>
      <c r="B202" s="201"/>
      <c r="C202" s="201"/>
      <c r="D202" s="201"/>
      <c r="E202" s="201"/>
      <c r="F202" s="201"/>
      <c r="G202" s="368"/>
      <c r="H202" s="182"/>
      <c r="I202" s="182"/>
      <c r="J202" s="182"/>
      <c r="K202" s="182"/>
      <c r="L202" s="182"/>
    </row>
    <row r="203" spans="1:12" ht="15" x14ac:dyDescent="0.25">
      <c r="A203" s="201"/>
      <c r="B203" s="203" t="s">
        <v>340</v>
      </c>
      <c r="C203" s="201" t="s">
        <v>7</v>
      </c>
      <c r="D203" s="201"/>
      <c r="E203" s="201"/>
      <c r="F203" s="201"/>
      <c r="G203" s="368"/>
      <c r="H203" s="182"/>
      <c r="I203" s="182"/>
      <c r="J203" s="182"/>
      <c r="K203" s="182"/>
      <c r="L203" s="182"/>
    </row>
    <row r="204" spans="1:12" ht="15" x14ac:dyDescent="0.25">
      <c r="A204" s="201"/>
      <c r="B204" s="201"/>
      <c r="C204" s="201"/>
      <c r="D204" s="201"/>
      <c r="E204" s="201"/>
      <c r="F204" s="201"/>
      <c r="G204" s="368"/>
      <c r="H204" s="182"/>
      <c r="I204" s="182"/>
      <c r="J204" s="182"/>
      <c r="K204" s="182"/>
      <c r="L204" s="182"/>
    </row>
    <row r="205" spans="1:12" ht="15" x14ac:dyDescent="0.25">
      <c r="A205" s="201"/>
      <c r="B205" s="203" t="s">
        <v>2598</v>
      </c>
      <c r="C205" s="203"/>
      <c r="D205" s="203"/>
      <c r="E205" s="203"/>
      <c r="F205" s="201"/>
      <c r="G205" s="368"/>
      <c r="H205" s="182"/>
      <c r="I205" s="182"/>
      <c r="J205" s="182"/>
      <c r="K205" s="182"/>
      <c r="L205" s="182"/>
    </row>
    <row r="206" spans="1:12" ht="15" x14ac:dyDescent="0.25">
      <c r="A206" s="201"/>
      <c r="B206" s="203"/>
      <c r="C206" s="203"/>
      <c r="D206" s="203"/>
      <c r="E206" s="203"/>
      <c r="F206" s="201"/>
      <c r="G206" s="368"/>
      <c r="H206" s="182"/>
      <c r="I206" s="182"/>
      <c r="J206" s="182"/>
      <c r="K206" s="182"/>
      <c r="L206" s="182"/>
    </row>
    <row r="207" spans="1:12" ht="15" x14ac:dyDescent="0.25">
      <c r="A207" s="201"/>
      <c r="B207" s="203"/>
      <c r="C207" s="201"/>
      <c r="D207" s="201"/>
      <c r="E207" s="201"/>
      <c r="F207" s="201"/>
      <c r="G207" s="368"/>
      <c r="H207" s="182"/>
      <c r="I207" s="182"/>
      <c r="J207" s="182"/>
      <c r="K207" s="182"/>
      <c r="L207" s="182"/>
    </row>
    <row r="208" spans="1:12" ht="15" x14ac:dyDescent="0.25">
      <c r="A208" s="201"/>
      <c r="B208" s="203" t="s">
        <v>341</v>
      </c>
      <c r="C208" s="369">
        <v>2024</v>
      </c>
      <c r="D208" s="275"/>
      <c r="E208" s="275"/>
      <c r="F208" s="275"/>
      <c r="G208" s="368"/>
      <c r="H208" s="182"/>
      <c r="I208" s="182"/>
      <c r="J208" s="182"/>
      <c r="K208" s="182"/>
      <c r="L208" s="182"/>
    </row>
    <row r="209" spans="1:12" ht="15" x14ac:dyDescent="0.25">
      <c r="A209" s="201"/>
      <c r="B209" s="379" t="s">
        <v>342</v>
      </c>
      <c r="C209" s="370">
        <v>7931552.6500000004</v>
      </c>
      <c r="D209" s="371"/>
      <c r="E209" s="380"/>
      <c r="F209" s="377"/>
      <c r="G209" s="368"/>
      <c r="H209" s="182"/>
      <c r="I209" s="182"/>
      <c r="J209" s="182"/>
      <c r="K209" s="182"/>
      <c r="L209" s="182"/>
    </row>
    <row r="210" spans="1:12" ht="15" x14ac:dyDescent="0.25">
      <c r="A210" s="201"/>
      <c r="B210" s="379" t="s">
        <v>343</v>
      </c>
      <c r="C210" s="370">
        <v>1277156.05</v>
      </c>
      <c r="D210" s="371"/>
      <c r="E210" s="380"/>
      <c r="F210" s="377"/>
      <c r="G210" s="368"/>
      <c r="H210" s="182"/>
      <c r="I210" s="182"/>
      <c r="J210" s="182"/>
      <c r="K210" s="182"/>
      <c r="L210" s="182"/>
    </row>
    <row r="211" spans="1:12" ht="15" x14ac:dyDescent="0.25">
      <c r="A211" s="201"/>
      <c r="B211" s="203" t="s">
        <v>344</v>
      </c>
      <c r="C211" s="279">
        <f>SUM(C209:C210)</f>
        <v>9208708.7000000011</v>
      </c>
      <c r="D211" s="280"/>
      <c r="E211" s="382"/>
      <c r="F211" s="378"/>
      <c r="G211" s="368"/>
      <c r="H211" s="182"/>
      <c r="I211" s="182"/>
      <c r="J211" s="182"/>
      <c r="K211" s="182"/>
      <c r="L211" s="182"/>
    </row>
    <row r="212" spans="1:12" ht="15" x14ac:dyDescent="0.25">
      <c r="A212" s="201"/>
      <c r="B212" s="201"/>
      <c r="C212" s="201"/>
      <c r="D212" s="201"/>
      <c r="E212" s="201"/>
      <c r="F212" s="201"/>
      <c r="G212" s="368"/>
      <c r="H212" s="182"/>
      <c r="I212" s="182"/>
      <c r="J212" s="182"/>
      <c r="K212" s="182"/>
      <c r="L212" s="182"/>
    </row>
    <row r="213" spans="1:12" ht="15" x14ac:dyDescent="0.25">
      <c r="A213" s="201"/>
      <c r="B213" s="201"/>
      <c r="C213" s="201"/>
      <c r="D213" s="201"/>
      <c r="E213" s="201"/>
      <c r="F213" s="201"/>
      <c r="G213" s="368"/>
      <c r="H213" s="182"/>
      <c r="I213" s="182"/>
      <c r="J213" s="182"/>
      <c r="K213" s="182"/>
      <c r="L213" s="182"/>
    </row>
    <row r="214" spans="1:12" ht="15" x14ac:dyDescent="0.25">
      <c r="A214" s="201"/>
      <c r="B214" s="203" t="s">
        <v>345</v>
      </c>
      <c r="C214" s="201"/>
      <c r="D214" s="201"/>
      <c r="E214" s="205" t="s">
        <v>7</v>
      </c>
      <c r="F214" s="205"/>
      <c r="G214" s="368"/>
      <c r="H214" s="182"/>
      <c r="I214" s="182"/>
      <c r="J214" s="182"/>
      <c r="K214" s="182"/>
      <c r="L214" s="182"/>
    </row>
    <row r="215" spans="1:12" ht="15" x14ac:dyDescent="0.25">
      <c r="A215" s="201"/>
      <c r="B215" s="201"/>
      <c r="C215" s="201"/>
      <c r="D215" s="201"/>
      <c r="E215" s="201"/>
      <c r="F215" s="201"/>
      <c r="G215" s="368"/>
      <c r="H215" s="182"/>
      <c r="I215" s="182"/>
      <c r="J215" s="182"/>
      <c r="K215" s="182"/>
      <c r="L215" s="182"/>
    </row>
    <row r="216" spans="1:12" ht="15" x14ac:dyDescent="0.25">
      <c r="A216" s="201"/>
      <c r="B216" s="203" t="s">
        <v>2599</v>
      </c>
      <c r="C216" s="203"/>
      <c r="D216" s="203"/>
      <c r="E216" s="203"/>
      <c r="F216" s="201"/>
      <c r="G216" s="368"/>
      <c r="H216" s="182"/>
      <c r="I216" s="182"/>
      <c r="J216" s="182"/>
      <c r="K216" s="182"/>
      <c r="L216" s="182"/>
    </row>
    <row r="217" spans="1:12" ht="15" x14ac:dyDescent="0.25">
      <c r="A217" s="201"/>
      <c r="B217" s="203" t="s">
        <v>2600</v>
      </c>
      <c r="C217" s="203"/>
      <c r="D217" s="203"/>
      <c r="E217" s="203"/>
      <c r="F217" s="201"/>
      <c r="G217" s="368"/>
      <c r="H217" s="182"/>
      <c r="I217" s="182"/>
      <c r="J217" s="182"/>
      <c r="K217" s="182"/>
      <c r="L217" s="182"/>
    </row>
    <row r="218" spans="1:12" ht="15" x14ac:dyDescent="0.25">
      <c r="B218" s="201"/>
      <c r="C218" s="201"/>
      <c r="D218" s="201"/>
      <c r="E218" s="201"/>
      <c r="F218" s="201"/>
      <c r="G218" s="368"/>
      <c r="H218" s="182"/>
      <c r="I218" s="182"/>
      <c r="J218" s="182"/>
      <c r="K218" s="182"/>
      <c r="L218" s="182"/>
    </row>
    <row r="219" spans="1:12" ht="15" x14ac:dyDescent="0.25">
      <c r="A219" s="201"/>
      <c r="B219" s="275" t="s">
        <v>291</v>
      </c>
      <c r="C219" s="369">
        <v>2024</v>
      </c>
      <c r="D219" s="275"/>
      <c r="E219" s="275"/>
      <c r="F219" s="275"/>
      <c r="G219" s="368"/>
      <c r="H219" s="182"/>
      <c r="I219" s="182"/>
      <c r="J219" s="182"/>
      <c r="K219" s="182"/>
      <c r="L219" s="182"/>
    </row>
    <row r="220" spans="1:12" ht="15" x14ac:dyDescent="0.25">
      <c r="A220" s="201"/>
      <c r="B220" s="379" t="s">
        <v>346</v>
      </c>
      <c r="C220" s="370">
        <v>82757052.569999993</v>
      </c>
      <c r="D220" s="371"/>
      <c r="E220" s="380"/>
      <c r="F220" s="377"/>
      <c r="G220" s="368"/>
      <c r="H220" s="182"/>
      <c r="I220" s="182"/>
      <c r="J220" s="182"/>
      <c r="K220" s="182"/>
      <c r="L220" s="182"/>
    </row>
    <row r="221" spans="1:12" ht="15" x14ac:dyDescent="0.25">
      <c r="A221" s="201"/>
      <c r="B221" s="379" t="s">
        <v>347</v>
      </c>
      <c r="C221" s="370">
        <v>3809294.59</v>
      </c>
      <c r="D221" s="371"/>
      <c r="E221" s="380"/>
      <c r="F221" s="377"/>
      <c r="G221" s="368"/>
      <c r="H221" s="182"/>
      <c r="I221" s="182"/>
      <c r="J221" s="182"/>
      <c r="K221" s="182"/>
      <c r="L221" s="182"/>
    </row>
    <row r="222" spans="1:12" ht="15" x14ac:dyDescent="0.25">
      <c r="A222" s="201"/>
      <c r="B222" s="203" t="s">
        <v>348</v>
      </c>
      <c r="C222" s="282">
        <f>SUM(C220:C221)</f>
        <v>86566347.159999996</v>
      </c>
      <c r="D222" s="280"/>
      <c r="E222" s="382"/>
      <c r="F222" s="378"/>
      <c r="G222" s="368"/>
      <c r="H222" s="182"/>
      <c r="I222" s="182"/>
      <c r="J222" s="182"/>
      <c r="K222" s="182"/>
      <c r="L222" s="182"/>
    </row>
    <row r="223" spans="1:12" ht="15" x14ac:dyDescent="0.25">
      <c r="A223" s="201"/>
      <c r="B223" s="201"/>
      <c r="C223" s="201"/>
      <c r="D223" s="201"/>
      <c r="E223" s="201"/>
      <c r="F223" s="201"/>
      <c r="G223" s="368"/>
      <c r="H223" s="182"/>
      <c r="I223" s="182"/>
      <c r="J223" s="182"/>
      <c r="K223" s="182"/>
      <c r="L223" s="182"/>
    </row>
    <row r="224" spans="1:12" ht="15" x14ac:dyDescent="0.25">
      <c r="A224" s="201"/>
      <c r="B224" s="201"/>
      <c r="C224" s="201"/>
      <c r="D224" s="201"/>
      <c r="E224" s="201"/>
      <c r="F224" s="201"/>
      <c r="G224" s="368"/>
      <c r="H224" s="182"/>
      <c r="I224" s="182"/>
      <c r="J224" s="182"/>
      <c r="K224" s="182"/>
      <c r="L224" s="182"/>
    </row>
    <row r="225" spans="1:7" ht="15" x14ac:dyDescent="0.25">
      <c r="A225" s="201"/>
      <c r="B225" s="201"/>
      <c r="C225" s="201"/>
      <c r="D225" s="201"/>
      <c r="E225" s="201"/>
      <c r="F225" s="201"/>
      <c r="G225" s="368"/>
    </row>
    <row r="226" spans="1:7" ht="15" x14ac:dyDescent="0.25">
      <c r="A226" s="201"/>
      <c r="B226" s="203" t="s">
        <v>349</v>
      </c>
      <c r="C226" s="201"/>
      <c r="D226" s="201"/>
      <c r="E226" s="201"/>
      <c r="F226" s="201"/>
      <c r="G226" s="368"/>
    </row>
    <row r="227" spans="1:7" ht="15" x14ac:dyDescent="0.25">
      <c r="A227" s="201"/>
      <c r="B227" s="203"/>
      <c r="C227" s="201"/>
      <c r="D227" s="201"/>
      <c r="E227" s="201"/>
      <c r="F227" s="201"/>
      <c r="G227" s="368"/>
    </row>
    <row r="228" spans="1:7" ht="15" x14ac:dyDescent="0.25">
      <c r="A228" s="201"/>
      <c r="B228" s="203" t="s">
        <v>2601</v>
      </c>
      <c r="C228" s="203"/>
      <c r="D228" s="203"/>
      <c r="E228" s="203"/>
      <c r="F228" s="201"/>
      <c r="G228" s="368"/>
    </row>
    <row r="229" spans="1:7" ht="15" x14ac:dyDescent="0.25">
      <c r="A229" s="201"/>
      <c r="B229" s="203"/>
      <c r="C229" s="203"/>
      <c r="D229" s="203"/>
      <c r="E229" s="201"/>
      <c r="F229" s="201"/>
      <c r="G229" s="368"/>
    </row>
    <row r="230" spans="1:7" ht="15" x14ac:dyDescent="0.25">
      <c r="A230" s="201"/>
      <c r="B230" s="203"/>
      <c r="C230" s="201"/>
      <c r="D230" s="201"/>
      <c r="E230" s="201"/>
      <c r="F230" s="201"/>
      <c r="G230" s="368"/>
    </row>
    <row r="231" spans="1:7" ht="15" x14ac:dyDescent="0.25">
      <c r="A231" s="201"/>
      <c r="B231" s="218" t="s">
        <v>291</v>
      </c>
      <c r="C231" s="369">
        <v>2024</v>
      </c>
      <c r="D231" s="275"/>
      <c r="E231" s="275"/>
      <c r="F231" s="275"/>
      <c r="G231" s="368"/>
    </row>
    <row r="232" spans="1:7" ht="15" x14ac:dyDescent="0.25">
      <c r="A232" s="201"/>
      <c r="B232" s="379" t="s">
        <v>350</v>
      </c>
      <c r="C232" s="370">
        <v>0</v>
      </c>
      <c r="D232" s="371"/>
      <c r="E232" s="380"/>
      <c r="F232" s="377"/>
      <c r="G232" s="368"/>
    </row>
    <row r="233" spans="1:7" ht="15" x14ac:dyDescent="0.25">
      <c r="A233" s="201"/>
      <c r="B233" s="379" t="s">
        <v>351</v>
      </c>
      <c r="C233" s="370">
        <v>97323.889999999898</v>
      </c>
      <c r="D233" s="371"/>
      <c r="E233" s="380"/>
      <c r="F233" s="377"/>
      <c r="G233" s="368"/>
    </row>
    <row r="234" spans="1:7" ht="15" x14ac:dyDescent="0.25">
      <c r="A234" s="201"/>
      <c r="B234" s="379" t="s">
        <v>352</v>
      </c>
      <c r="C234" s="370">
        <v>0</v>
      </c>
      <c r="D234" s="371"/>
      <c r="E234" s="380"/>
      <c r="F234" s="377"/>
      <c r="G234" s="368"/>
    </row>
    <row r="235" spans="1:7" ht="15" x14ac:dyDescent="0.25">
      <c r="A235" s="201"/>
      <c r="B235" s="379" t="s">
        <v>353</v>
      </c>
      <c r="C235" s="370">
        <v>4857182.7033333303</v>
      </c>
      <c r="D235" s="371"/>
      <c r="E235" s="380"/>
      <c r="F235" s="377"/>
      <c r="G235" s="368"/>
    </row>
    <row r="236" spans="1:7" ht="15" x14ac:dyDescent="0.25">
      <c r="A236" s="201"/>
      <c r="B236" s="379" t="s">
        <v>354</v>
      </c>
      <c r="C236" s="370">
        <v>0</v>
      </c>
      <c r="D236" s="371"/>
      <c r="E236" s="380"/>
      <c r="F236" s="377"/>
      <c r="G236" s="368"/>
    </row>
    <row r="237" spans="1:7" ht="15" x14ac:dyDescent="0.25">
      <c r="A237" s="201"/>
      <c r="B237" s="379" t="s">
        <v>355</v>
      </c>
      <c r="C237" s="282">
        <f>SUM(C232:C236)</f>
        <v>4954506.59333333</v>
      </c>
      <c r="D237" s="288"/>
      <c r="E237" s="382"/>
      <c r="F237" s="377"/>
      <c r="G237" s="368"/>
    </row>
    <row r="238" spans="1:7" ht="15" x14ac:dyDescent="0.25">
      <c r="A238" s="201"/>
      <c r="B238" s="379"/>
      <c r="C238" s="288"/>
      <c r="D238" s="288"/>
      <c r="E238" s="382"/>
      <c r="F238" s="377"/>
      <c r="G238" s="368"/>
    </row>
    <row r="239" spans="1:7" ht="15" x14ac:dyDescent="0.25">
      <c r="A239" s="201"/>
      <c r="B239" s="379"/>
      <c r="C239" s="288"/>
      <c r="D239" s="288"/>
      <c r="E239" s="382"/>
      <c r="F239" s="377"/>
      <c r="G239" s="368"/>
    </row>
    <row r="240" spans="1:7" ht="15" x14ac:dyDescent="0.25">
      <c r="A240" s="201"/>
      <c r="B240" s="203"/>
      <c r="C240" s="201"/>
      <c r="D240" s="201"/>
      <c r="E240" s="201"/>
      <c r="F240" s="201"/>
      <c r="G240" s="368"/>
    </row>
    <row r="241" spans="1:7" ht="15" x14ac:dyDescent="0.25">
      <c r="A241" s="201"/>
      <c r="B241" s="203" t="s">
        <v>356</v>
      </c>
      <c r="C241" s="387"/>
      <c r="D241" s="387"/>
      <c r="E241" s="277"/>
      <c r="F241" s="277"/>
      <c r="G241" s="368"/>
    </row>
    <row r="242" spans="1:7" ht="15" x14ac:dyDescent="0.25">
      <c r="A242" s="201"/>
      <c r="B242" s="201"/>
      <c r="C242" s="277"/>
      <c r="D242" s="277"/>
      <c r="E242" s="277"/>
      <c r="F242" s="277"/>
      <c r="G242" s="368"/>
    </row>
    <row r="243" spans="1:7" ht="15" x14ac:dyDescent="0.25">
      <c r="A243" s="201"/>
      <c r="B243" s="388">
        <v>2024</v>
      </c>
      <c r="C243" s="389"/>
      <c r="D243" s="389"/>
      <c r="E243" s="389"/>
      <c r="F243" s="390"/>
      <c r="G243" s="368"/>
    </row>
    <row r="244" spans="1:7" ht="30" x14ac:dyDescent="0.25">
      <c r="A244" s="201"/>
      <c r="B244" s="391"/>
      <c r="C244" s="392" t="s">
        <v>357</v>
      </c>
      <c r="D244" s="392" t="s">
        <v>358</v>
      </c>
      <c r="E244" s="393" t="s">
        <v>359</v>
      </c>
      <c r="F244" s="394" t="s">
        <v>360</v>
      </c>
      <c r="G244" s="368"/>
    </row>
    <row r="245" spans="1:7" ht="15" x14ac:dyDescent="0.25">
      <c r="A245" s="201"/>
      <c r="B245" s="379" t="s">
        <v>361</v>
      </c>
      <c r="C245" s="387">
        <v>621781501.27999997</v>
      </c>
      <c r="D245" s="387">
        <v>143085672.22</v>
      </c>
      <c r="E245" s="376">
        <v>2729227.82</v>
      </c>
      <c r="F245" s="280">
        <f>SUM(C245:E245)</f>
        <v>767596401.32000005</v>
      </c>
      <c r="G245" s="368"/>
    </row>
    <row r="246" spans="1:7" ht="15" x14ac:dyDescent="0.25">
      <c r="A246" s="201"/>
      <c r="B246" s="395" t="s">
        <v>362</v>
      </c>
      <c r="C246" s="396">
        <v>0</v>
      </c>
      <c r="D246" s="396">
        <v>0</v>
      </c>
      <c r="E246" s="396">
        <v>0</v>
      </c>
      <c r="F246" s="397">
        <f>SUM(C246:E246)</f>
        <v>0</v>
      </c>
      <c r="G246" s="368"/>
    </row>
    <row r="247" spans="1:7" ht="15" x14ac:dyDescent="0.25">
      <c r="A247" s="201"/>
      <c r="B247" s="398" t="s">
        <v>363</v>
      </c>
      <c r="C247" s="396">
        <f t="shared" ref="C247:F247" si="0">SUM(C245:C246)</f>
        <v>621781501.27999997</v>
      </c>
      <c r="D247" s="396">
        <f t="shared" si="0"/>
        <v>143085672.22</v>
      </c>
      <c r="E247" s="399">
        <f t="shared" si="0"/>
        <v>2729227.82</v>
      </c>
      <c r="F247" s="399">
        <f t="shared" si="0"/>
        <v>767596401.32000005</v>
      </c>
      <c r="G247" s="368"/>
    </row>
    <row r="248" spans="1:7" ht="12" customHeight="1" x14ac:dyDescent="0.25">
      <c r="A248" s="201"/>
      <c r="B248" s="379"/>
      <c r="C248" s="387"/>
      <c r="D248" s="387"/>
      <c r="E248" s="376"/>
      <c r="F248" s="376"/>
      <c r="G248" s="368"/>
    </row>
    <row r="249" spans="1:7" ht="10.5" customHeight="1" x14ac:dyDescent="0.25">
      <c r="A249" s="201"/>
      <c r="B249" s="395" t="s">
        <v>364</v>
      </c>
      <c r="C249" s="400"/>
      <c r="D249" s="400"/>
      <c r="E249" s="401"/>
      <c r="F249" s="401"/>
      <c r="G249" s="368"/>
    </row>
    <row r="250" spans="1:7" ht="15" x14ac:dyDescent="0.25">
      <c r="A250" s="201"/>
      <c r="B250" s="379" t="s">
        <v>365</v>
      </c>
      <c r="C250" s="387">
        <v>-461518270.20999998</v>
      </c>
      <c r="D250" s="387">
        <v>-98639796.780000001</v>
      </c>
      <c r="E250" s="376">
        <v>-1686705.41</v>
      </c>
      <c r="F250" s="376">
        <f>SUM(C250:E250)</f>
        <v>-561844772.39999998</v>
      </c>
      <c r="G250" s="368"/>
    </row>
    <row r="251" spans="1:7" ht="15" x14ac:dyDescent="0.25">
      <c r="A251" s="201"/>
      <c r="B251" s="395" t="s">
        <v>366</v>
      </c>
      <c r="C251" s="402">
        <v>-2037942.15</v>
      </c>
      <c r="D251" s="396">
        <v>-283037.82</v>
      </c>
      <c r="E251" s="399">
        <v>-3233.48</v>
      </c>
      <c r="F251" s="399">
        <f>SUM(C251:E251)</f>
        <v>-2324213.4499999997</v>
      </c>
      <c r="G251" s="368"/>
    </row>
    <row r="252" spans="1:7" ht="15" x14ac:dyDescent="0.25">
      <c r="A252" s="201"/>
      <c r="B252" s="398" t="s">
        <v>367</v>
      </c>
      <c r="C252" s="396">
        <f>SUM(C250:C251)</f>
        <v>-463556212.35999995</v>
      </c>
      <c r="D252" s="396">
        <f>SUM(D250:D251)</f>
        <v>-98922834.599999994</v>
      </c>
      <c r="E252" s="399">
        <f>SUM(E250:E251)</f>
        <v>-1689938.89</v>
      </c>
      <c r="F252" s="399">
        <f>SUM(F250:F251)</f>
        <v>-564168985.85000002</v>
      </c>
      <c r="G252" s="368"/>
    </row>
    <row r="253" spans="1:7" ht="15.75" thickBot="1" x14ac:dyDescent="0.3">
      <c r="A253" s="201"/>
      <c r="B253" s="403" t="s">
        <v>2225</v>
      </c>
      <c r="C253" s="404">
        <f>+C247+C252</f>
        <v>158225288.92000002</v>
      </c>
      <c r="D253" s="404">
        <f>+D247+D252</f>
        <v>44162837.620000005</v>
      </c>
      <c r="E253" s="405">
        <f>+E247+E252</f>
        <v>1039288.9299999999</v>
      </c>
      <c r="F253" s="405">
        <f>+F247+F252</f>
        <v>203427415.47000003</v>
      </c>
      <c r="G253" s="368"/>
    </row>
    <row r="254" spans="1:7" ht="15" x14ac:dyDescent="0.25">
      <c r="A254" s="201"/>
      <c r="B254" s="201" t="s">
        <v>7</v>
      </c>
      <c r="C254" s="201"/>
      <c r="D254" s="201"/>
      <c r="E254" s="201"/>
      <c r="F254" s="201"/>
      <c r="G254" s="368"/>
    </row>
    <row r="255" spans="1:7" ht="15" x14ac:dyDescent="0.25">
      <c r="A255" s="201"/>
      <c r="B255" s="201"/>
      <c r="C255" s="201"/>
      <c r="D255" s="201"/>
      <c r="E255" s="201"/>
      <c r="F255" s="201"/>
      <c r="G255" s="368"/>
    </row>
    <row r="256" spans="1:7" ht="15" x14ac:dyDescent="0.25">
      <c r="A256" s="201"/>
      <c r="B256" s="203" t="s">
        <v>2602</v>
      </c>
      <c r="C256" s="203"/>
      <c r="D256" s="203"/>
      <c r="E256" s="203"/>
      <c r="F256" s="201"/>
      <c r="G256" s="368"/>
    </row>
    <row r="257" spans="1:7" ht="15" x14ac:dyDescent="0.25">
      <c r="A257" s="201"/>
      <c r="B257" s="203" t="s">
        <v>7</v>
      </c>
      <c r="C257" s="203"/>
      <c r="D257" s="203"/>
      <c r="E257" s="203"/>
      <c r="F257" s="201"/>
      <c r="G257" s="368"/>
    </row>
    <row r="258" spans="1:7" ht="15" x14ac:dyDescent="0.25">
      <c r="A258" s="201"/>
      <c r="B258" s="201"/>
      <c r="C258" s="201"/>
      <c r="D258" s="201"/>
      <c r="E258" s="201"/>
      <c r="F258" s="386"/>
      <c r="G258" s="368"/>
    </row>
    <row r="259" spans="1:7" ht="15" x14ac:dyDescent="0.25">
      <c r="A259" s="201"/>
      <c r="B259" s="201"/>
      <c r="C259" s="201"/>
      <c r="D259" s="201"/>
      <c r="E259" s="201"/>
      <c r="F259" s="386"/>
      <c r="G259" s="368"/>
    </row>
    <row r="260" spans="1:7" ht="15" x14ac:dyDescent="0.25">
      <c r="A260" s="201"/>
      <c r="B260" s="201"/>
      <c r="C260" s="201"/>
      <c r="D260" s="201"/>
      <c r="E260" s="201"/>
      <c r="F260" s="386"/>
      <c r="G260" s="368"/>
    </row>
    <row r="261" spans="1:7" ht="15" x14ac:dyDescent="0.25">
      <c r="A261" s="201"/>
      <c r="B261" s="201"/>
      <c r="C261" s="201"/>
      <c r="D261" s="201"/>
      <c r="E261" s="201"/>
      <c r="F261" s="386"/>
      <c r="G261" s="368"/>
    </row>
    <row r="262" spans="1:7" ht="15" x14ac:dyDescent="0.25">
      <c r="A262" s="201"/>
      <c r="B262" s="201"/>
      <c r="C262" s="201"/>
      <c r="D262" s="201"/>
      <c r="E262" s="201"/>
      <c r="F262" s="386"/>
      <c r="G262" s="368"/>
    </row>
    <row r="263" spans="1:7" ht="15" x14ac:dyDescent="0.25">
      <c r="A263" s="201"/>
      <c r="B263" s="203" t="s">
        <v>370</v>
      </c>
      <c r="C263" s="201"/>
      <c r="D263" s="201"/>
      <c r="E263" s="201"/>
      <c r="F263" s="201"/>
      <c r="G263" s="368"/>
    </row>
    <row r="264" spans="1:7" ht="15" x14ac:dyDescent="0.25">
      <c r="A264" s="201"/>
      <c r="B264" s="203" t="s">
        <v>17</v>
      </c>
      <c r="C264" s="201"/>
      <c r="D264" s="201"/>
      <c r="E264" s="201"/>
      <c r="F264" s="201"/>
      <c r="G264" s="368"/>
    </row>
    <row r="265" spans="1:7" ht="15" x14ac:dyDescent="0.25">
      <c r="A265" s="201"/>
      <c r="B265" s="201"/>
      <c r="C265" s="201"/>
      <c r="D265" s="201"/>
      <c r="E265" s="201"/>
      <c r="F265" s="201"/>
      <c r="G265" s="368"/>
    </row>
    <row r="266" spans="1:7" ht="15" x14ac:dyDescent="0.25">
      <c r="A266" s="201"/>
      <c r="B266" s="203" t="s">
        <v>371</v>
      </c>
      <c r="C266" s="201"/>
      <c r="D266" s="201"/>
      <c r="E266" s="201"/>
      <c r="F266" s="201"/>
      <c r="G266" s="368"/>
    </row>
    <row r="267" spans="1:7" ht="15" x14ac:dyDescent="0.25">
      <c r="A267" s="201"/>
      <c r="B267" s="201"/>
      <c r="C267" s="201"/>
      <c r="D267" s="201"/>
      <c r="E267" s="201"/>
      <c r="F267" s="201"/>
      <c r="G267" s="368"/>
    </row>
    <row r="268" spans="1:7" ht="15" x14ac:dyDescent="0.25">
      <c r="A268" s="201"/>
      <c r="B268" s="203" t="s">
        <v>2603</v>
      </c>
      <c r="C268" s="203"/>
      <c r="D268" s="203"/>
      <c r="E268" s="203"/>
      <c r="F268" s="201"/>
      <c r="G268" s="368"/>
    </row>
    <row r="269" spans="1:7" ht="15" x14ac:dyDescent="0.25">
      <c r="A269" s="201"/>
      <c r="B269" s="201"/>
      <c r="C269" s="201"/>
      <c r="D269" s="201"/>
      <c r="E269" s="201"/>
      <c r="F269" s="201"/>
      <c r="G269" s="368"/>
    </row>
    <row r="270" spans="1:7" ht="15" x14ac:dyDescent="0.25">
      <c r="A270" s="201"/>
      <c r="B270" s="203" t="s">
        <v>7</v>
      </c>
      <c r="C270" s="201"/>
      <c r="D270" s="201"/>
      <c r="E270" s="201"/>
      <c r="F270" s="203"/>
      <c r="G270" s="368"/>
    </row>
    <row r="271" spans="1:7" ht="15" x14ac:dyDescent="0.25">
      <c r="A271" s="201"/>
      <c r="B271" s="275" t="s">
        <v>341</v>
      </c>
      <c r="C271" s="369">
        <v>2024</v>
      </c>
      <c r="D271" s="275"/>
      <c r="E271" s="275"/>
      <c r="F271" s="201"/>
      <c r="G271" s="368"/>
    </row>
    <row r="272" spans="1:7" ht="15" x14ac:dyDescent="0.25">
      <c r="A272" s="201"/>
      <c r="B272" s="203" t="s">
        <v>372</v>
      </c>
      <c r="C272" s="370">
        <v>270165619.80000001</v>
      </c>
      <c r="D272" s="371"/>
      <c r="E272" s="380"/>
      <c r="F272" s="201"/>
      <c r="G272" s="368"/>
    </row>
    <row r="273" spans="1:7" ht="15" x14ac:dyDescent="0.25">
      <c r="A273" s="201"/>
      <c r="B273" s="203" t="s">
        <v>373</v>
      </c>
      <c r="C273" s="282">
        <f>C272</f>
        <v>270165619.80000001</v>
      </c>
      <c r="D273" s="288"/>
      <c r="E273" s="382"/>
      <c r="F273" s="201"/>
      <c r="G273" s="368"/>
    </row>
    <row r="274" spans="1:7" ht="15" x14ac:dyDescent="0.25">
      <c r="A274" s="201"/>
      <c r="B274" s="201"/>
      <c r="C274" s="201"/>
      <c r="D274" s="201"/>
      <c r="E274" s="201"/>
      <c r="F274" s="201"/>
      <c r="G274" s="368"/>
    </row>
    <row r="275" spans="1:7" ht="15" x14ac:dyDescent="0.25">
      <c r="A275" s="201"/>
      <c r="B275" s="201"/>
      <c r="C275" s="201"/>
      <c r="D275" s="201"/>
      <c r="E275" s="201"/>
      <c r="F275" s="201"/>
      <c r="G275" s="368"/>
    </row>
    <row r="276" spans="1:7" ht="15" x14ac:dyDescent="0.25">
      <c r="A276" s="201"/>
      <c r="B276" s="203" t="s">
        <v>374</v>
      </c>
      <c r="C276" s="201"/>
      <c r="D276" s="201"/>
      <c r="E276" s="201"/>
      <c r="F276" s="201"/>
      <c r="G276" s="368"/>
    </row>
    <row r="277" spans="1:7" ht="15" x14ac:dyDescent="0.25">
      <c r="A277" s="201"/>
      <c r="B277" s="203"/>
      <c r="C277" s="201"/>
      <c r="D277" s="201"/>
      <c r="E277" s="201"/>
      <c r="F277" s="201"/>
      <c r="G277" s="368"/>
    </row>
    <row r="278" spans="1:7" ht="15" x14ac:dyDescent="0.25">
      <c r="A278" s="201"/>
      <c r="B278" s="203" t="s">
        <v>2604</v>
      </c>
      <c r="C278" s="203"/>
      <c r="D278" s="203"/>
      <c r="E278" s="203"/>
      <c r="F278" s="201" t="s">
        <v>7</v>
      </c>
      <c r="G278" s="368"/>
    </row>
    <row r="279" spans="1:7" ht="15" x14ac:dyDescent="0.25">
      <c r="A279" s="201"/>
      <c r="B279" s="203" t="s">
        <v>2605</v>
      </c>
      <c r="C279" s="203"/>
      <c r="D279" s="203"/>
      <c r="E279" s="203"/>
      <c r="F279" s="201" t="s">
        <v>7</v>
      </c>
      <c r="G279" s="368"/>
    </row>
    <row r="280" spans="1:7" ht="15" x14ac:dyDescent="0.25">
      <c r="A280" s="201"/>
      <c r="B280" s="203"/>
      <c r="C280" s="201"/>
      <c r="D280" s="201"/>
      <c r="E280" s="201"/>
      <c r="F280" s="201"/>
      <c r="G280" s="368"/>
    </row>
    <row r="281" spans="1:7" ht="15" x14ac:dyDescent="0.25">
      <c r="A281" s="201"/>
      <c r="B281" s="203"/>
      <c r="C281" s="201"/>
      <c r="D281" s="201"/>
      <c r="E281" s="201"/>
      <c r="F281" s="201"/>
      <c r="G281" s="368"/>
    </row>
    <row r="282" spans="1:7" ht="15" x14ac:dyDescent="0.25">
      <c r="A282" s="201"/>
      <c r="B282" s="275" t="s">
        <v>341</v>
      </c>
      <c r="C282" s="369">
        <v>2024</v>
      </c>
      <c r="D282" s="275"/>
      <c r="E282" s="275"/>
      <c r="F282" s="201"/>
      <c r="G282" s="368"/>
    </row>
    <row r="283" spans="1:7" ht="15" x14ac:dyDescent="0.25">
      <c r="A283" s="201"/>
      <c r="B283" s="203" t="s">
        <v>375</v>
      </c>
      <c r="C283" s="406">
        <v>2700</v>
      </c>
      <c r="D283" s="407"/>
      <c r="E283" s="380"/>
      <c r="F283" s="201"/>
      <c r="G283" s="368"/>
    </row>
    <row r="284" spans="1:7" ht="15" x14ac:dyDescent="0.25">
      <c r="A284" s="201"/>
      <c r="B284" s="203" t="s">
        <v>376</v>
      </c>
      <c r="C284" s="406">
        <v>750</v>
      </c>
      <c r="D284" s="407"/>
      <c r="E284" s="380"/>
      <c r="F284" s="386"/>
      <c r="G284" s="368"/>
    </row>
    <row r="285" spans="1:7" ht="15" x14ac:dyDescent="0.25">
      <c r="A285" s="201"/>
      <c r="B285" s="203" t="s">
        <v>377</v>
      </c>
      <c r="C285" s="406">
        <v>0</v>
      </c>
      <c r="D285" s="407"/>
      <c r="E285" s="380"/>
      <c r="F285" s="201"/>
      <c r="G285" s="368"/>
    </row>
    <row r="286" spans="1:7" ht="15" x14ac:dyDescent="0.25">
      <c r="A286" s="201"/>
      <c r="B286" s="203" t="s">
        <v>378</v>
      </c>
      <c r="C286" s="406">
        <v>0</v>
      </c>
      <c r="D286" s="407"/>
      <c r="E286" s="380"/>
      <c r="F286" s="201"/>
      <c r="G286" s="368"/>
    </row>
    <row r="287" spans="1:7" ht="15" x14ac:dyDescent="0.25">
      <c r="A287" s="201"/>
      <c r="B287" s="203" t="s">
        <v>379</v>
      </c>
      <c r="C287" s="406">
        <v>0</v>
      </c>
      <c r="D287" s="407"/>
      <c r="E287" s="380"/>
      <c r="F287" s="201"/>
      <c r="G287" s="368"/>
    </row>
    <row r="288" spans="1:7" ht="15" x14ac:dyDescent="0.25">
      <c r="A288" s="201"/>
      <c r="B288" s="203" t="s">
        <v>380</v>
      </c>
      <c r="C288" s="408">
        <f>SUM(C283:C287)</f>
        <v>3450</v>
      </c>
      <c r="D288" s="387"/>
      <c r="E288" s="380"/>
      <c r="F288" s="201"/>
      <c r="G288" s="368"/>
    </row>
    <row r="289" spans="1:7" ht="15" x14ac:dyDescent="0.25">
      <c r="A289" s="201"/>
      <c r="B289" s="203"/>
      <c r="C289" s="387"/>
      <c r="D289" s="387"/>
      <c r="E289" s="374"/>
      <c r="F289" s="201"/>
      <c r="G289" s="368"/>
    </row>
    <row r="290" spans="1:7" ht="15" x14ac:dyDescent="0.25">
      <c r="A290" s="201"/>
      <c r="B290" s="201"/>
      <c r="C290" s="201"/>
      <c r="D290" s="201"/>
      <c r="E290" s="201"/>
      <c r="F290" s="201"/>
      <c r="G290" s="368"/>
    </row>
    <row r="291" spans="1:7" ht="15" x14ac:dyDescent="0.25">
      <c r="A291" s="201"/>
      <c r="B291" s="201"/>
      <c r="C291" s="201"/>
      <c r="D291" s="201"/>
      <c r="E291" s="201"/>
      <c r="F291" s="201"/>
      <c r="G291" s="368"/>
    </row>
    <row r="292" spans="1:7" ht="15" x14ac:dyDescent="0.25">
      <c r="A292" s="201"/>
      <c r="B292" s="203" t="s">
        <v>381</v>
      </c>
      <c r="C292" s="201" t="s">
        <v>56</v>
      </c>
      <c r="D292" s="201"/>
      <c r="E292" s="201"/>
      <c r="F292" s="201"/>
      <c r="G292" s="368"/>
    </row>
    <row r="293" spans="1:7" ht="15" x14ac:dyDescent="0.25">
      <c r="A293" s="201"/>
      <c r="B293" s="201"/>
      <c r="C293" s="201"/>
      <c r="D293" s="201"/>
      <c r="E293" s="201"/>
      <c r="F293" s="201"/>
      <c r="G293" s="368"/>
    </row>
    <row r="294" spans="1:7" ht="15" x14ac:dyDescent="0.25">
      <c r="A294" s="201"/>
      <c r="B294" s="203" t="s">
        <v>2606</v>
      </c>
      <c r="C294" s="203"/>
      <c r="D294" s="203"/>
      <c r="E294" s="203"/>
      <c r="F294" s="201"/>
      <c r="G294" s="368"/>
    </row>
    <row r="295" spans="1:7" ht="15" x14ac:dyDescent="0.25">
      <c r="A295" s="201"/>
      <c r="B295" s="203"/>
      <c r="C295" s="203"/>
      <c r="D295" s="203"/>
      <c r="E295" s="203"/>
      <c r="F295" s="201"/>
      <c r="G295" s="368"/>
    </row>
    <row r="296" spans="1:7" ht="15" x14ac:dyDescent="0.25">
      <c r="A296" s="201"/>
      <c r="B296" s="203"/>
      <c r="C296" s="203"/>
      <c r="D296" s="203"/>
      <c r="E296" s="203"/>
      <c r="F296" s="201"/>
      <c r="G296" s="368"/>
    </row>
    <row r="297" spans="1:7" ht="15" x14ac:dyDescent="0.25">
      <c r="A297" s="201"/>
      <c r="B297" s="203" t="s">
        <v>291</v>
      </c>
      <c r="C297" s="369">
        <v>2024</v>
      </c>
      <c r="D297" s="275"/>
      <c r="E297" s="275"/>
      <c r="F297" s="201"/>
      <c r="G297" s="368"/>
    </row>
    <row r="298" spans="1:7" ht="15" x14ac:dyDescent="0.25">
      <c r="A298" s="201"/>
      <c r="B298" s="409" t="s">
        <v>382</v>
      </c>
      <c r="C298" s="370">
        <v>534638142.77999997</v>
      </c>
      <c r="D298" s="287"/>
      <c r="E298" s="380"/>
      <c r="F298" s="277"/>
      <c r="G298" s="368"/>
    </row>
    <row r="299" spans="1:7" ht="15" x14ac:dyDescent="0.25">
      <c r="A299" s="201"/>
      <c r="B299" s="409" t="s">
        <v>383</v>
      </c>
      <c r="C299" s="410">
        <v>-227237303.94999999</v>
      </c>
      <c r="D299" s="411"/>
      <c r="E299" s="380"/>
      <c r="F299" s="277"/>
      <c r="G299" s="368"/>
    </row>
    <row r="300" spans="1:7" ht="15" x14ac:dyDescent="0.25">
      <c r="A300" s="201"/>
      <c r="B300" s="203" t="s">
        <v>51</v>
      </c>
      <c r="C300" s="412">
        <v>-31418561.109999999</v>
      </c>
      <c r="D300" s="411"/>
      <c r="E300" s="380"/>
      <c r="F300" s="277"/>
      <c r="G300" s="368"/>
    </row>
    <row r="301" spans="1:7" ht="15" x14ac:dyDescent="0.25">
      <c r="A301" s="201"/>
      <c r="B301" s="409" t="s">
        <v>52</v>
      </c>
      <c r="C301" s="413">
        <v>55345843.439999998</v>
      </c>
      <c r="D301" s="287"/>
      <c r="E301" s="380"/>
      <c r="F301" s="277"/>
      <c r="G301" s="368"/>
    </row>
    <row r="302" spans="1:7" ht="15" x14ac:dyDescent="0.25">
      <c r="A302" s="201"/>
      <c r="B302" s="409" t="s">
        <v>26</v>
      </c>
      <c r="C302" s="414">
        <f>SUM(C298:C301)</f>
        <v>331328121.15999997</v>
      </c>
      <c r="D302" s="415"/>
      <c r="E302" s="382"/>
      <c r="F302" s="277"/>
      <c r="G302" s="368"/>
    </row>
    <row r="303" spans="1:7" ht="15" x14ac:dyDescent="0.25">
      <c r="A303" s="201"/>
      <c r="B303" s="201"/>
      <c r="C303" s="201"/>
      <c r="D303" s="201"/>
      <c r="E303" s="201"/>
      <c r="F303" s="201"/>
      <c r="G303" s="368"/>
    </row>
    <row r="304" spans="1:7" ht="15" x14ac:dyDescent="0.25">
      <c r="A304" s="201"/>
      <c r="B304" s="201"/>
      <c r="C304" s="201"/>
      <c r="D304" s="201"/>
      <c r="E304" s="201"/>
      <c r="F304" s="201"/>
      <c r="G304" s="368"/>
    </row>
    <row r="305" spans="1:7" ht="15" x14ac:dyDescent="0.25">
      <c r="A305" s="201"/>
      <c r="B305" s="201"/>
      <c r="C305" s="201"/>
      <c r="D305" s="201"/>
      <c r="E305" s="201"/>
      <c r="F305" s="201"/>
      <c r="G305" s="368"/>
    </row>
    <row r="306" spans="1:7" ht="15" x14ac:dyDescent="0.25">
      <c r="A306" s="201"/>
      <c r="B306" s="201"/>
      <c r="C306" s="201"/>
      <c r="D306" s="201"/>
      <c r="E306" s="201"/>
      <c r="F306" s="201"/>
      <c r="G306" s="368"/>
    </row>
    <row r="307" spans="1:7" ht="15" x14ac:dyDescent="0.25">
      <c r="A307" s="201"/>
      <c r="B307" s="201"/>
      <c r="C307" s="201"/>
      <c r="D307" s="201"/>
      <c r="E307" s="201"/>
      <c r="F307" s="201"/>
      <c r="G307" s="368"/>
    </row>
    <row r="308" spans="1:7" ht="15" x14ac:dyDescent="0.25">
      <c r="A308" s="201"/>
      <c r="B308" s="201"/>
      <c r="C308" s="201"/>
      <c r="D308" s="201"/>
      <c r="E308" s="201"/>
      <c r="F308" s="201"/>
      <c r="G308" s="368"/>
    </row>
    <row r="309" spans="1:7" ht="15" x14ac:dyDescent="0.25">
      <c r="A309" s="201"/>
      <c r="B309" s="201"/>
      <c r="C309" s="201"/>
      <c r="D309" s="201"/>
      <c r="E309" s="201"/>
      <c r="F309" s="201"/>
      <c r="G309" s="368"/>
    </row>
    <row r="310" spans="1:7" ht="15" x14ac:dyDescent="0.25">
      <c r="A310" s="201"/>
      <c r="B310" s="218" t="s">
        <v>2212</v>
      </c>
      <c r="C310" s="218"/>
      <c r="D310" s="201"/>
      <c r="E310" s="201"/>
      <c r="F310" s="201"/>
      <c r="G310" s="368"/>
    </row>
    <row r="311" spans="1:7" ht="15" x14ac:dyDescent="0.25">
      <c r="A311" s="201"/>
      <c r="B311" s="417" t="s">
        <v>2613</v>
      </c>
      <c r="C311" s="417"/>
      <c r="D311" s="201"/>
      <c r="E311" s="201"/>
      <c r="F311" s="201"/>
      <c r="G311" s="368"/>
    </row>
    <row r="312" spans="1:7" ht="15" x14ac:dyDescent="0.25">
      <c r="A312" s="201"/>
      <c r="B312" s="201"/>
      <c r="C312" s="201"/>
      <c r="D312" s="201"/>
      <c r="E312" s="201"/>
      <c r="F312" s="201"/>
      <c r="G312" s="368"/>
    </row>
    <row r="313" spans="1:7" ht="15" x14ac:dyDescent="0.25">
      <c r="A313" s="201"/>
      <c r="B313" s="201"/>
      <c r="C313" s="201"/>
      <c r="D313" s="201"/>
      <c r="E313" s="201"/>
      <c r="F313" s="201"/>
      <c r="G313" s="368"/>
    </row>
    <row r="314" spans="1:7" ht="15" x14ac:dyDescent="0.25">
      <c r="A314" s="201"/>
      <c r="B314" s="201"/>
      <c r="C314" s="201"/>
      <c r="D314" s="201"/>
      <c r="E314" s="201"/>
      <c r="F314" s="201"/>
      <c r="G314" s="368"/>
    </row>
    <row r="315" spans="1:7" ht="15" x14ac:dyDescent="0.25">
      <c r="A315" s="201"/>
      <c r="B315" s="201"/>
      <c r="C315" s="201"/>
      <c r="D315" s="201"/>
      <c r="E315" s="201"/>
      <c r="F315" s="201"/>
      <c r="G315" s="368"/>
    </row>
    <row r="316" spans="1:7" ht="15" x14ac:dyDescent="0.25">
      <c r="A316" s="201"/>
      <c r="B316" s="203" t="s">
        <v>2210</v>
      </c>
      <c r="C316" s="203" t="s">
        <v>2211</v>
      </c>
      <c r="D316" s="201"/>
      <c r="E316" s="201"/>
      <c r="F316" s="201"/>
      <c r="G316" s="368"/>
    </row>
    <row r="317" spans="1:7" ht="15" x14ac:dyDescent="0.25">
      <c r="A317" s="201"/>
      <c r="B317" s="203" t="s">
        <v>2614</v>
      </c>
      <c r="C317" s="203" t="s">
        <v>55</v>
      </c>
      <c r="D317" s="201"/>
      <c r="E317" s="201"/>
      <c r="F317" s="201"/>
      <c r="G317" s="368"/>
    </row>
    <row r="318" spans="1:7" ht="15" x14ac:dyDescent="0.25">
      <c r="A318" s="201"/>
      <c r="B318" s="203"/>
      <c r="C318" s="203"/>
      <c r="D318" s="201"/>
      <c r="E318" s="201"/>
      <c r="F318" s="201"/>
      <c r="G318" s="368"/>
    </row>
    <row r="319" spans="1:7" x14ac:dyDescent="0.25">
      <c r="A319" s="368"/>
      <c r="B319" s="416"/>
      <c r="C319" s="368"/>
      <c r="D319" s="368"/>
      <c r="E319" s="368"/>
      <c r="F319" s="368"/>
      <c r="G319" s="368"/>
    </row>
    <row r="320" spans="1:7" x14ac:dyDescent="0.25">
      <c r="A320" s="368"/>
      <c r="B320" s="416"/>
      <c r="C320" s="368"/>
      <c r="D320" s="368"/>
      <c r="E320" s="368"/>
      <c r="F320" s="368"/>
      <c r="G320" s="368"/>
    </row>
    <row r="321" spans="1:7" x14ac:dyDescent="0.25">
      <c r="A321" s="368"/>
      <c r="B321" s="416"/>
      <c r="C321" s="368"/>
      <c r="D321" s="368"/>
      <c r="E321" s="368"/>
      <c r="F321" s="368"/>
      <c r="G321" s="368"/>
    </row>
    <row r="322" spans="1:7" x14ac:dyDescent="0.25">
      <c r="A322" s="368"/>
      <c r="B322" s="416"/>
      <c r="C322" s="368"/>
      <c r="D322" s="368"/>
      <c r="E322" s="368"/>
      <c r="F322" s="368"/>
      <c r="G322" s="368"/>
    </row>
    <row r="323" spans="1:7" x14ac:dyDescent="0.25">
      <c r="A323" s="368"/>
      <c r="B323" s="416"/>
      <c r="C323" s="368"/>
      <c r="D323" s="368"/>
      <c r="E323" s="368"/>
      <c r="F323" s="368"/>
      <c r="G323" s="368"/>
    </row>
    <row r="324" spans="1:7" x14ac:dyDescent="0.25">
      <c r="A324" s="368"/>
      <c r="B324" s="416"/>
      <c r="C324" s="368"/>
      <c r="D324" s="368"/>
      <c r="E324" s="368"/>
      <c r="F324" s="368"/>
      <c r="G324" s="368"/>
    </row>
    <row r="325" spans="1:7" x14ac:dyDescent="0.25">
      <c r="A325" s="368"/>
      <c r="B325" s="416"/>
      <c r="C325" s="368"/>
      <c r="D325" s="368"/>
      <c r="E325" s="368"/>
      <c r="F325" s="368"/>
      <c r="G325" s="368"/>
    </row>
    <row r="326" spans="1:7" x14ac:dyDescent="0.25">
      <c r="A326" s="368"/>
      <c r="B326" s="416"/>
      <c r="C326" s="368"/>
      <c r="D326" s="368"/>
      <c r="E326" s="368"/>
      <c r="F326" s="368"/>
      <c r="G326" s="368"/>
    </row>
    <row r="327" spans="1:7" x14ac:dyDescent="0.25">
      <c r="A327" s="368"/>
      <c r="B327" s="416"/>
      <c r="C327" s="368"/>
      <c r="D327" s="368"/>
      <c r="E327" s="368"/>
      <c r="F327" s="368"/>
      <c r="G327" s="368"/>
    </row>
    <row r="328" spans="1:7" x14ac:dyDescent="0.25">
      <c r="A328" s="368"/>
      <c r="B328" s="416"/>
      <c r="C328" s="368"/>
      <c r="D328" s="368"/>
      <c r="E328" s="368"/>
      <c r="F328" s="368"/>
      <c r="G328" s="368"/>
    </row>
    <row r="329" spans="1:7" x14ac:dyDescent="0.25">
      <c r="A329" s="368"/>
      <c r="B329" s="416"/>
      <c r="C329" s="368"/>
      <c r="D329" s="368"/>
      <c r="E329" s="368"/>
      <c r="F329" s="368"/>
      <c r="G329" s="368"/>
    </row>
    <row r="330" spans="1:7" x14ac:dyDescent="0.25">
      <c r="A330" s="368"/>
      <c r="B330" s="416"/>
      <c r="C330" s="368"/>
      <c r="D330" s="368"/>
      <c r="E330" s="368"/>
      <c r="F330" s="368"/>
      <c r="G330" s="368"/>
    </row>
    <row r="331" spans="1:7" x14ac:dyDescent="0.25">
      <c r="A331" s="368"/>
      <c r="B331" s="416"/>
      <c r="C331" s="368"/>
      <c r="D331" s="368"/>
      <c r="E331" s="368"/>
      <c r="F331" s="368"/>
      <c r="G331" s="368"/>
    </row>
    <row r="332" spans="1:7" x14ac:dyDescent="0.25">
      <c r="A332" s="368"/>
      <c r="B332" s="416"/>
      <c r="C332" s="368"/>
      <c r="D332" s="368"/>
      <c r="E332" s="368"/>
      <c r="F332" s="368"/>
      <c r="G332" s="368"/>
    </row>
    <row r="333" spans="1:7" x14ac:dyDescent="0.25">
      <c r="A333" s="368"/>
      <c r="B333" s="416"/>
      <c r="C333" s="368"/>
      <c r="D333" s="368"/>
      <c r="E333" s="368"/>
      <c r="F333" s="368"/>
      <c r="G333" s="368"/>
    </row>
    <row r="334" spans="1:7" x14ac:dyDescent="0.25">
      <c r="A334" s="368"/>
      <c r="B334" s="416"/>
      <c r="C334" s="368"/>
      <c r="D334" s="368"/>
      <c r="E334" s="368"/>
      <c r="F334" s="368"/>
      <c r="G334" s="368"/>
    </row>
    <row r="335" spans="1:7" x14ac:dyDescent="0.25">
      <c r="A335" s="368"/>
      <c r="B335" s="416"/>
      <c r="C335" s="368"/>
      <c r="D335" s="368"/>
      <c r="E335" s="368"/>
      <c r="F335" s="368"/>
      <c r="G335" s="368"/>
    </row>
    <row r="336" spans="1:7" x14ac:dyDescent="0.25">
      <c r="A336" s="368"/>
      <c r="B336" s="416"/>
      <c r="C336" s="368"/>
      <c r="D336" s="368"/>
      <c r="E336" s="368"/>
      <c r="F336" s="368"/>
      <c r="G336" s="368"/>
    </row>
    <row r="337" spans="1:7" x14ac:dyDescent="0.25">
      <c r="A337" s="368"/>
      <c r="B337" s="416"/>
      <c r="C337" s="368"/>
      <c r="D337" s="368"/>
      <c r="E337" s="368"/>
      <c r="F337" s="368"/>
      <c r="G337" s="368"/>
    </row>
    <row r="338" spans="1:7" x14ac:dyDescent="0.25">
      <c r="A338" s="368"/>
      <c r="B338" s="416"/>
      <c r="C338" s="368"/>
      <c r="D338" s="368"/>
      <c r="E338" s="368"/>
      <c r="F338" s="368"/>
      <c r="G338" s="368"/>
    </row>
    <row r="339" spans="1:7" x14ac:dyDescent="0.25">
      <c r="A339" s="368"/>
      <c r="B339" s="416"/>
      <c r="C339" s="368"/>
      <c r="D339" s="368"/>
      <c r="E339" s="368"/>
      <c r="F339" s="368"/>
      <c r="G339" s="368"/>
    </row>
    <row r="340" spans="1:7" x14ac:dyDescent="0.25">
      <c r="A340" s="368"/>
      <c r="B340" s="416"/>
      <c r="C340" s="368"/>
      <c r="D340" s="368"/>
      <c r="E340" s="368"/>
      <c r="F340" s="368"/>
      <c r="G340" s="368"/>
    </row>
    <row r="341" spans="1:7" x14ac:dyDescent="0.25">
      <c r="A341" s="368"/>
      <c r="B341" s="416"/>
      <c r="C341" s="368"/>
      <c r="D341" s="368"/>
      <c r="E341" s="368"/>
      <c r="F341" s="368"/>
      <c r="G341" s="368"/>
    </row>
    <row r="342" spans="1:7" x14ac:dyDescent="0.25">
      <c r="A342" s="368"/>
      <c r="B342" s="416"/>
      <c r="C342" s="368"/>
      <c r="D342" s="368"/>
      <c r="E342" s="368"/>
      <c r="F342" s="368"/>
      <c r="G342" s="368"/>
    </row>
    <row r="343" spans="1:7" x14ac:dyDescent="0.25">
      <c r="A343" s="368"/>
      <c r="B343" s="416"/>
      <c r="C343" s="368"/>
      <c r="D343" s="368"/>
      <c r="E343" s="368"/>
      <c r="F343" s="368"/>
      <c r="G343" s="368"/>
    </row>
    <row r="344" spans="1:7" x14ac:dyDescent="0.25">
      <c r="A344" s="368"/>
      <c r="B344" s="416"/>
      <c r="C344" s="368"/>
      <c r="D344" s="368"/>
      <c r="E344" s="368"/>
      <c r="F344" s="368"/>
      <c r="G344" s="368"/>
    </row>
    <row r="345" spans="1:7" x14ac:dyDescent="0.25">
      <c r="A345" s="368"/>
      <c r="B345" s="416"/>
      <c r="C345" s="368"/>
      <c r="D345" s="368"/>
      <c r="E345" s="368"/>
      <c r="F345" s="368"/>
      <c r="G345" s="368"/>
    </row>
    <row r="346" spans="1:7" x14ac:dyDescent="0.25">
      <c r="A346" s="368"/>
      <c r="B346" s="416"/>
      <c r="C346" s="368"/>
      <c r="D346" s="368"/>
      <c r="E346" s="368"/>
      <c r="F346" s="368"/>
      <c r="G346" s="368"/>
    </row>
    <row r="347" spans="1:7" x14ac:dyDescent="0.25">
      <c r="A347" s="368"/>
      <c r="B347" s="416"/>
      <c r="C347" s="368"/>
      <c r="D347" s="368"/>
      <c r="E347" s="368"/>
      <c r="F347" s="368"/>
      <c r="G347" s="368"/>
    </row>
    <row r="348" spans="1:7" x14ac:dyDescent="0.25">
      <c r="A348" s="368"/>
      <c r="B348" s="416"/>
      <c r="C348" s="368"/>
      <c r="D348" s="368"/>
      <c r="E348" s="368"/>
      <c r="F348" s="368"/>
      <c r="G348" s="368"/>
    </row>
    <row r="349" spans="1:7" x14ac:dyDescent="0.25">
      <c r="A349" s="368"/>
      <c r="B349" s="416"/>
      <c r="C349" s="368"/>
      <c r="D349" s="368"/>
      <c r="E349" s="368"/>
      <c r="F349" s="368"/>
      <c r="G349" s="368"/>
    </row>
    <row r="350" spans="1:7" x14ac:dyDescent="0.25">
      <c r="A350" s="368"/>
      <c r="B350" s="416"/>
      <c r="C350" s="368"/>
      <c r="D350" s="368"/>
      <c r="E350" s="368"/>
      <c r="F350" s="368"/>
      <c r="G350" s="368"/>
    </row>
    <row r="351" spans="1:7" x14ac:dyDescent="0.25">
      <c r="A351" s="368"/>
      <c r="B351" s="416"/>
      <c r="C351" s="368"/>
      <c r="D351" s="368"/>
      <c r="E351" s="368"/>
      <c r="F351" s="368"/>
      <c r="G351" s="368"/>
    </row>
    <row r="352" spans="1:7" x14ac:dyDescent="0.25">
      <c r="A352" s="368"/>
      <c r="B352" s="416"/>
      <c r="C352" s="368"/>
      <c r="D352" s="368"/>
      <c r="E352" s="368"/>
      <c r="F352" s="368"/>
      <c r="G352" s="368"/>
    </row>
    <row r="353" spans="1:7" x14ac:dyDescent="0.25">
      <c r="A353" s="368"/>
      <c r="B353" s="416"/>
      <c r="C353" s="368"/>
      <c r="D353" s="368"/>
      <c r="E353" s="368"/>
      <c r="F353" s="368"/>
      <c r="G353" s="368"/>
    </row>
    <row r="354" spans="1:7" x14ac:dyDescent="0.25">
      <c r="A354" s="368"/>
      <c r="B354" s="416"/>
      <c r="C354" s="368"/>
      <c r="D354" s="368"/>
      <c r="E354" s="368"/>
      <c r="F354" s="368"/>
      <c r="G354" s="368"/>
    </row>
    <row r="355" spans="1:7" x14ac:dyDescent="0.25">
      <c r="A355" s="368"/>
      <c r="B355" s="416"/>
      <c r="C355" s="368"/>
      <c r="D355" s="368"/>
      <c r="E355" s="368"/>
      <c r="F355" s="368"/>
      <c r="G355" s="368"/>
    </row>
    <row r="356" spans="1:7" x14ac:dyDescent="0.25">
      <c r="A356" s="368"/>
      <c r="B356" s="416"/>
      <c r="C356" s="368"/>
      <c r="D356" s="368"/>
      <c r="E356" s="368"/>
      <c r="F356" s="368"/>
      <c r="G356" s="368"/>
    </row>
    <row r="357" spans="1:7" x14ac:dyDescent="0.25">
      <c r="A357" s="368"/>
      <c r="B357" s="416"/>
      <c r="C357" s="368"/>
      <c r="D357" s="368"/>
      <c r="E357" s="368"/>
      <c r="F357" s="368"/>
      <c r="G357" s="368"/>
    </row>
    <row r="358" spans="1:7" x14ac:dyDescent="0.25">
      <c r="A358" s="368"/>
      <c r="B358" s="416"/>
      <c r="C358" s="368"/>
      <c r="D358" s="368"/>
      <c r="E358" s="368"/>
      <c r="F358" s="368"/>
      <c r="G358" s="368"/>
    </row>
    <row r="359" spans="1:7" x14ac:dyDescent="0.25">
      <c r="A359" s="368"/>
      <c r="B359" s="416"/>
      <c r="C359" s="368"/>
      <c r="D359" s="368"/>
      <c r="E359" s="368"/>
      <c r="F359" s="368"/>
      <c r="G359" s="368"/>
    </row>
    <row r="360" spans="1:7" x14ac:dyDescent="0.25">
      <c r="A360" s="368"/>
      <c r="B360" s="416"/>
      <c r="C360" s="368"/>
      <c r="D360" s="368"/>
      <c r="E360" s="368"/>
      <c r="F360" s="368"/>
      <c r="G360" s="368"/>
    </row>
    <row r="361" spans="1:7" x14ac:dyDescent="0.25">
      <c r="A361" s="368"/>
      <c r="B361" s="416"/>
      <c r="C361" s="368"/>
      <c r="D361" s="368"/>
      <c r="E361" s="368"/>
      <c r="F361" s="368"/>
      <c r="G361" s="368"/>
    </row>
    <row r="362" spans="1:7" x14ac:dyDescent="0.25">
      <c r="A362" s="368"/>
      <c r="B362" s="416"/>
      <c r="C362" s="368"/>
      <c r="D362" s="368"/>
      <c r="E362" s="368"/>
      <c r="F362" s="368"/>
      <c r="G362" s="368"/>
    </row>
    <row r="363" spans="1:7" x14ac:dyDescent="0.25">
      <c r="A363" s="368"/>
      <c r="B363" s="416"/>
      <c r="C363" s="368"/>
      <c r="D363" s="368"/>
      <c r="E363" s="368"/>
      <c r="F363" s="368"/>
      <c r="G363" s="368"/>
    </row>
    <row r="364" spans="1:7" x14ac:dyDescent="0.25">
      <c r="A364" s="368"/>
      <c r="B364" s="416"/>
      <c r="C364" s="368"/>
      <c r="D364" s="368"/>
      <c r="E364" s="368"/>
      <c r="F364" s="368"/>
      <c r="G364" s="368"/>
    </row>
    <row r="365" spans="1:7" x14ac:dyDescent="0.25">
      <c r="A365" s="368"/>
      <c r="B365" s="416"/>
      <c r="C365" s="368"/>
      <c r="D365" s="368"/>
      <c r="E365" s="368"/>
      <c r="F365" s="368"/>
      <c r="G365" s="368"/>
    </row>
    <row r="366" spans="1:7" x14ac:dyDescent="0.25">
      <c r="A366" s="368"/>
      <c r="B366" s="416"/>
      <c r="C366" s="368"/>
      <c r="D366" s="368"/>
      <c r="E366" s="368"/>
      <c r="F366" s="368"/>
      <c r="G366" s="368"/>
    </row>
    <row r="367" spans="1:7" x14ac:dyDescent="0.25">
      <c r="A367" s="368"/>
      <c r="B367" s="416"/>
      <c r="C367" s="368"/>
      <c r="D367" s="368"/>
      <c r="E367" s="368"/>
      <c r="F367" s="368"/>
      <c r="G367" s="368"/>
    </row>
    <row r="368" spans="1:7" x14ac:dyDescent="0.25">
      <c r="A368" s="368"/>
      <c r="B368" s="416"/>
      <c r="C368" s="368"/>
      <c r="D368" s="368"/>
      <c r="E368" s="368"/>
      <c r="F368" s="368"/>
      <c r="G368" s="368"/>
    </row>
    <row r="369" spans="1:7" x14ac:dyDescent="0.25">
      <c r="A369" s="368"/>
      <c r="B369" s="416"/>
      <c r="C369" s="368"/>
      <c r="D369" s="368"/>
      <c r="E369" s="368"/>
      <c r="F369" s="368"/>
      <c r="G369" s="368"/>
    </row>
    <row r="370" spans="1:7" x14ac:dyDescent="0.25">
      <c r="A370" s="368"/>
      <c r="B370" s="416"/>
      <c r="C370" s="368"/>
      <c r="D370" s="368"/>
      <c r="E370" s="368"/>
      <c r="F370" s="368"/>
      <c r="G370" s="368"/>
    </row>
    <row r="371" spans="1:7" x14ac:dyDescent="0.25">
      <c r="A371" s="368"/>
      <c r="B371" s="416"/>
      <c r="C371" s="368"/>
      <c r="D371" s="368"/>
      <c r="E371" s="368"/>
      <c r="F371" s="368"/>
      <c r="G371" s="368"/>
    </row>
    <row r="372" spans="1:7" x14ac:dyDescent="0.25">
      <c r="A372" s="368"/>
      <c r="B372" s="416"/>
      <c r="C372" s="368"/>
      <c r="D372" s="368"/>
      <c r="E372" s="368"/>
      <c r="F372" s="368"/>
      <c r="G372" s="368"/>
    </row>
    <row r="373" spans="1:7" x14ac:dyDescent="0.25">
      <c r="A373" s="368"/>
      <c r="B373" s="416"/>
      <c r="C373" s="368"/>
      <c r="D373" s="368"/>
      <c r="E373" s="368"/>
      <c r="F373" s="368"/>
      <c r="G373" s="368"/>
    </row>
    <row r="374" spans="1:7" x14ac:dyDescent="0.25">
      <c r="A374" s="368"/>
      <c r="B374" s="416"/>
      <c r="C374" s="368"/>
      <c r="D374" s="368"/>
      <c r="E374" s="368"/>
      <c r="F374" s="368"/>
      <c r="G374" s="368"/>
    </row>
    <row r="375" spans="1:7" x14ac:dyDescent="0.25">
      <c r="A375" s="368"/>
      <c r="B375" s="416"/>
      <c r="C375" s="368"/>
      <c r="D375" s="368"/>
      <c r="E375" s="368"/>
      <c r="F375" s="368"/>
      <c r="G375" s="368"/>
    </row>
    <row r="376" spans="1:7" x14ac:dyDescent="0.25">
      <c r="A376" s="368"/>
      <c r="B376" s="416"/>
      <c r="C376" s="368"/>
      <c r="D376" s="368"/>
      <c r="E376" s="368"/>
      <c r="F376" s="368"/>
      <c r="G376" s="368"/>
    </row>
    <row r="377" spans="1:7" x14ac:dyDescent="0.25">
      <c r="A377" s="368"/>
      <c r="B377" s="416"/>
      <c r="C377" s="368"/>
      <c r="D377" s="368"/>
      <c r="E377" s="368"/>
      <c r="F377" s="368"/>
      <c r="G377" s="368"/>
    </row>
    <row r="378" spans="1:7" x14ac:dyDescent="0.25">
      <c r="A378" s="368"/>
      <c r="B378" s="416"/>
      <c r="C378" s="368"/>
      <c r="D378" s="368"/>
      <c r="E378" s="368"/>
      <c r="F378" s="368"/>
      <c r="G378" s="368"/>
    </row>
    <row r="379" spans="1:7" x14ac:dyDescent="0.25">
      <c r="A379" s="368"/>
      <c r="B379" s="416"/>
      <c r="C379" s="368"/>
      <c r="D379" s="368"/>
      <c r="E379" s="368"/>
      <c r="F379" s="368"/>
      <c r="G379" s="368"/>
    </row>
    <row r="380" spans="1:7" x14ac:dyDescent="0.25">
      <c r="A380" s="368"/>
      <c r="B380" s="416"/>
      <c r="C380" s="368"/>
      <c r="D380" s="368"/>
      <c r="E380" s="368"/>
      <c r="F380" s="368"/>
      <c r="G380" s="368"/>
    </row>
    <row r="381" spans="1:7" x14ac:dyDescent="0.25">
      <c r="A381" s="368"/>
      <c r="B381" s="416"/>
      <c r="C381" s="368"/>
      <c r="D381" s="368"/>
      <c r="E381" s="368"/>
      <c r="F381" s="368"/>
      <c r="G381" s="368"/>
    </row>
    <row r="382" spans="1:7" x14ac:dyDescent="0.25">
      <c r="A382" s="368"/>
      <c r="B382" s="416"/>
      <c r="C382" s="368"/>
      <c r="D382" s="368"/>
      <c r="E382" s="368"/>
      <c r="F382" s="368"/>
      <c r="G382" s="368"/>
    </row>
    <row r="383" spans="1:7" x14ac:dyDescent="0.25">
      <c r="A383" s="368"/>
      <c r="B383" s="416"/>
      <c r="C383" s="368"/>
      <c r="D383" s="368"/>
      <c r="E383" s="368"/>
      <c r="F383" s="368"/>
      <c r="G383" s="368"/>
    </row>
    <row r="384" spans="1:7" x14ac:dyDescent="0.25">
      <c r="A384" s="368"/>
      <c r="B384" s="416"/>
      <c r="C384" s="368"/>
      <c r="D384" s="368"/>
      <c r="E384" s="368"/>
      <c r="F384" s="368"/>
      <c r="G384" s="368"/>
    </row>
    <row r="385" spans="1:7" x14ac:dyDescent="0.25">
      <c r="A385" s="368"/>
      <c r="B385" s="416"/>
      <c r="C385" s="368"/>
      <c r="D385" s="368"/>
      <c r="E385" s="368"/>
      <c r="F385" s="368"/>
      <c r="G385" s="368"/>
    </row>
    <row r="386" spans="1:7" x14ac:dyDescent="0.25">
      <c r="A386" s="368"/>
      <c r="B386" s="416"/>
      <c r="C386" s="368"/>
      <c r="D386" s="368"/>
      <c r="E386" s="368"/>
      <c r="F386" s="368"/>
      <c r="G386" s="368"/>
    </row>
    <row r="387" spans="1:7" x14ac:dyDescent="0.25">
      <c r="A387" s="368"/>
      <c r="B387" s="416"/>
      <c r="C387" s="368"/>
      <c r="D387" s="368"/>
      <c r="E387" s="368"/>
      <c r="F387" s="368"/>
      <c r="G387" s="368"/>
    </row>
    <row r="388" spans="1:7" x14ac:dyDescent="0.25">
      <c r="A388" s="368"/>
      <c r="B388" s="416"/>
      <c r="C388" s="368"/>
      <c r="D388" s="368"/>
      <c r="E388" s="368"/>
      <c r="F388" s="368"/>
      <c r="G388" s="368"/>
    </row>
    <row r="389" spans="1:7" x14ac:dyDescent="0.25">
      <c r="A389" s="368"/>
      <c r="B389" s="416"/>
      <c r="C389" s="368"/>
      <c r="D389" s="368"/>
      <c r="E389" s="368"/>
      <c r="F389" s="368"/>
      <c r="G389" s="368"/>
    </row>
    <row r="390" spans="1:7" x14ac:dyDescent="0.25">
      <c r="A390" s="368"/>
      <c r="B390" s="416"/>
      <c r="C390" s="368"/>
      <c r="D390" s="368"/>
      <c r="E390" s="368"/>
      <c r="F390" s="368"/>
      <c r="G390" s="368"/>
    </row>
    <row r="391" spans="1:7" x14ac:dyDescent="0.25">
      <c r="A391" s="368"/>
      <c r="B391" s="416"/>
      <c r="C391" s="368"/>
      <c r="D391" s="368"/>
      <c r="E391" s="368"/>
      <c r="F391" s="368"/>
      <c r="G391" s="368"/>
    </row>
    <row r="392" spans="1:7" x14ac:dyDescent="0.25">
      <c r="A392" s="368"/>
      <c r="B392" s="416"/>
      <c r="C392" s="368"/>
      <c r="D392" s="368"/>
      <c r="E392" s="368"/>
      <c r="F392" s="368"/>
      <c r="G392" s="368"/>
    </row>
    <row r="393" spans="1:7" x14ac:dyDescent="0.25">
      <c r="A393" s="368"/>
      <c r="B393" s="416"/>
      <c r="C393" s="368"/>
      <c r="D393" s="368"/>
      <c r="E393" s="368"/>
      <c r="F393" s="368"/>
      <c r="G393" s="368"/>
    </row>
    <row r="394" spans="1:7" x14ac:dyDescent="0.25">
      <c r="A394" s="368"/>
      <c r="B394" s="416"/>
      <c r="C394" s="368"/>
      <c r="D394" s="368"/>
      <c r="E394" s="368"/>
      <c r="F394" s="368"/>
      <c r="G394" s="368"/>
    </row>
    <row r="395" spans="1:7" x14ac:dyDescent="0.25">
      <c r="A395" s="368"/>
      <c r="B395" s="416"/>
      <c r="C395" s="368"/>
      <c r="D395" s="368"/>
      <c r="E395" s="368"/>
      <c r="F395" s="368"/>
      <c r="G395" s="368"/>
    </row>
    <row r="396" spans="1:7" x14ac:dyDescent="0.25">
      <c r="A396" s="368"/>
      <c r="B396" s="416"/>
      <c r="C396" s="368"/>
      <c r="D396" s="368"/>
      <c r="E396" s="368"/>
      <c r="F396" s="368"/>
      <c r="G396" s="368"/>
    </row>
    <row r="397" spans="1:7" x14ac:dyDescent="0.25">
      <c r="A397" s="368"/>
      <c r="B397" s="416"/>
      <c r="C397" s="368"/>
      <c r="D397" s="368"/>
      <c r="E397" s="368"/>
      <c r="F397" s="368"/>
      <c r="G397" s="368"/>
    </row>
    <row r="398" spans="1:7" x14ac:dyDescent="0.25">
      <c r="A398" s="368"/>
      <c r="B398" s="416"/>
      <c r="C398" s="368"/>
      <c r="D398" s="368"/>
      <c r="E398" s="368"/>
      <c r="F398" s="368"/>
      <c r="G398" s="368"/>
    </row>
    <row r="399" spans="1:7" x14ac:dyDescent="0.25">
      <c r="A399" s="368"/>
      <c r="B399" s="416"/>
      <c r="C399" s="368"/>
      <c r="D399" s="368"/>
      <c r="E399" s="368"/>
      <c r="F399" s="368"/>
      <c r="G399" s="368"/>
    </row>
    <row r="400" spans="1:7" x14ac:dyDescent="0.25">
      <c r="A400" s="368"/>
      <c r="B400" s="416"/>
      <c r="C400" s="368"/>
      <c r="D400" s="368"/>
      <c r="E400" s="368"/>
      <c r="F400" s="368"/>
      <c r="G400" s="368"/>
    </row>
    <row r="401" spans="1:7" x14ac:dyDescent="0.25">
      <c r="A401" s="368"/>
      <c r="B401" s="416"/>
      <c r="C401" s="368"/>
      <c r="D401" s="368"/>
      <c r="E401" s="368"/>
      <c r="F401" s="368"/>
      <c r="G401" s="368"/>
    </row>
    <row r="402" spans="1:7" x14ac:dyDescent="0.25">
      <c r="A402" s="368"/>
      <c r="B402" s="416"/>
      <c r="C402" s="368"/>
      <c r="D402" s="368"/>
      <c r="E402" s="368"/>
      <c r="F402" s="368"/>
      <c r="G402" s="368"/>
    </row>
    <row r="403" spans="1:7" x14ac:dyDescent="0.25">
      <c r="A403" s="368"/>
      <c r="B403" s="416"/>
      <c r="C403" s="368"/>
      <c r="D403" s="368"/>
      <c r="E403" s="368"/>
      <c r="F403" s="368"/>
      <c r="G403" s="368"/>
    </row>
    <row r="404" spans="1:7" x14ac:dyDescent="0.25">
      <c r="A404" s="368"/>
      <c r="B404" s="416"/>
      <c r="C404" s="368"/>
      <c r="D404" s="368"/>
      <c r="E404" s="368"/>
      <c r="F404" s="368"/>
      <c r="G404" s="368"/>
    </row>
    <row r="405" spans="1:7" x14ac:dyDescent="0.25">
      <c r="A405" s="368"/>
      <c r="B405" s="416"/>
      <c r="C405" s="368"/>
      <c r="D405" s="368"/>
      <c r="E405" s="368"/>
      <c r="F405" s="368"/>
      <c r="G405" s="368"/>
    </row>
    <row r="406" spans="1:7" x14ac:dyDescent="0.25">
      <c r="A406" s="368"/>
      <c r="B406" s="416"/>
      <c r="C406" s="368"/>
      <c r="D406" s="368"/>
      <c r="E406" s="368"/>
      <c r="F406" s="368"/>
      <c r="G406" s="368"/>
    </row>
    <row r="407" spans="1:7" x14ac:dyDescent="0.25">
      <c r="A407" s="368"/>
      <c r="B407" s="416"/>
      <c r="C407" s="368"/>
      <c r="D407" s="368"/>
      <c r="E407" s="368"/>
      <c r="F407" s="368"/>
      <c r="G407" s="368"/>
    </row>
    <row r="408" spans="1:7" x14ac:dyDescent="0.25">
      <c r="A408" s="368"/>
      <c r="B408" s="416"/>
      <c r="C408" s="368"/>
      <c r="D408" s="368"/>
      <c r="E408" s="368"/>
      <c r="F408" s="368"/>
      <c r="G408" s="368"/>
    </row>
    <row r="409" spans="1:7" x14ac:dyDescent="0.25">
      <c r="A409" s="368"/>
      <c r="B409" s="416"/>
      <c r="C409" s="368"/>
      <c r="D409" s="368"/>
      <c r="E409" s="368"/>
      <c r="F409" s="368"/>
      <c r="G409" s="368"/>
    </row>
    <row r="410" spans="1:7" x14ac:dyDescent="0.25">
      <c r="A410" s="368"/>
      <c r="B410" s="416"/>
      <c r="C410" s="368"/>
      <c r="D410" s="368"/>
      <c r="E410" s="368"/>
      <c r="F410" s="368"/>
      <c r="G410" s="368"/>
    </row>
    <row r="411" spans="1:7" x14ac:dyDescent="0.25">
      <c r="A411" s="368"/>
      <c r="B411" s="416"/>
      <c r="C411" s="368"/>
      <c r="D411" s="368"/>
      <c r="E411" s="368"/>
      <c r="F411" s="368"/>
      <c r="G411" s="368"/>
    </row>
    <row r="412" spans="1:7" x14ac:dyDescent="0.25">
      <c r="A412" s="368"/>
      <c r="B412" s="416"/>
      <c r="C412" s="368"/>
      <c r="D412" s="368"/>
      <c r="E412" s="368"/>
      <c r="F412" s="368"/>
      <c r="G412" s="368"/>
    </row>
    <row r="413" spans="1:7" x14ac:dyDescent="0.25">
      <c r="A413" s="368"/>
      <c r="B413" s="416"/>
      <c r="C413" s="368"/>
      <c r="D413" s="368"/>
      <c r="E413" s="368"/>
      <c r="F413" s="368"/>
      <c r="G413" s="368"/>
    </row>
    <row r="414" spans="1:7" x14ac:dyDescent="0.25">
      <c r="A414" s="368"/>
      <c r="B414" s="416"/>
      <c r="C414" s="368"/>
      <c r="D414" s="368"/>
      <c r="E414" s="368"/>
      <c r="F414" s="368"/>
      <c r="G414" s="368"/>
    </row>
    <row r="415" spans="1:7" x14ac:dyDescent="0.25">
      <c r="A415" s="368"/>
      <c r="B415" s="416"/>
      <c r="C415" s="368"/>
      <c r="D415" s="368"/>
      <c r="E415" s="368"/>
      <c r="F415" s="368"/>
      <c r="G415" s="368"/>
    </row>
    <row r="416" spans="1:7" x14ac:dyDescent="0.25">
      <c r="A416" s="368"/>
      <c r="B416" s="416"/>
      <c r="C416" s="368"/>
      <c r="D416" s="368"/>
      <c r="E416" s="368"/>
      <c r="F416" s="368"/>
      <c r="G416" s="368"/>
    </row>
    <row r="417" spans="1:7" x14ac:dyDescent="0.25">
      <c r="A417" s="368"/>
      <c r="B417" s="416"/>
      <c r="C417" s="368"/>
      <c r="D417" s="368"/>
      <c r="E417" s="368"/>
      <c r="F417" s="368"/>
      <c r="G417" s="368"/>
    </row>
    <row r="418" spans="1:7" x14ac:dyDescent="0.25">
      <c r="A418" s="368"/>
      <c r="B418" s="416"/>
      <c r="C418" s="368"/>
      <c r="D418" s="368"/>
      <c r="E418" s="368"/>
      <c r="F418" s="368"/>
      <c r="G418" s="368"/>
    </row>
    <row r="419" spans="1:7" x14ac:dyDescent="0.25">
      <c r="A419" s="368"/>
      <c r="B419" s="416"/>
      <c r="C419" s="368"/>
      <c r="D419" s="368"/>
      <c r="E419" s="368"/>
      <c r="F419" s="368"/>
      <c r="G419" s="368"/>
    </row>
    <row r="420" spans="1:7" x14ac:dyDescent="0.25">
      <c r="A420" s="368"/>
      <c r="B420" s="416"/>
      <c r="C420" s="368"/>
      <c r="D420" s="368"/>
      <c r="E420" s="368"/>
      <c r="F420" s="368"/>
      <c r="G420" s="368"/>
    </row>
    <row r="421" spans="1:7" x14ac:dyDescent="0.25">
      <c r="A421" s="368"/>
      <c r="B421" s="416"/>
      <c r="C421" s="368"/>
      <c r="D421" s="368"/>
      <c r="E421" s="368"/>
      <c r="F421" s="368"/>
      <c r="G421" s="368"/>
    </row>
    <row r="422" spans="1:7" x14ac:dyDescent="0.25">
      <c r="A422" s="368"/>
      <c r="B422" s="416"/>
      <c r="C422" s="368"/>
      <c r="D422" s="368"/>
      <c r="E422" s="368"/>
      <c r="F422" s="368"/>
      <c r="G422" s="368"/>
    </row>
    <row r="423" spans="1:7" x14ac:dyDescent="0.25">
      <c r="A423" s="368"/>
      <c r="B423" s="416"/>
      <c r="C423" s="368"/>
      <c r="D423" s="368"/>
      <c r="E423" s="368"/>
      <c r="F423" s="368"/>
      <c r="G423" s="368"/>
    </row>
    <row r="424" spans="1:7" x14ac:dyDescent="0.25">
      <c r="A424" s="368"/>
      <c r="B424" s="416"/>
      <c r="C424" s="368"/>
      <c r="D424" s="368"/>
      <c r="E424" s="368"/>
      <c r="F424" s="368"/>
      <c r="G424" s="368"/>
    </row>
    <row r="425" spans="1:7" x14ac:dyDescent="0.25">
      <c r="A425" s="368"/>
      <c r="B425" s="416"/>
      <c r="C425" s="368"/>
      <c r="D425" s="368"/>
      <c r="E425" s="368"/>
      <c r="F425" s="368"/>
      <c r="G425" s="368"/>
    </row>
    <row r="426" spans="1:7" x14ac:dyDescent="0.25">
      <c r="A426" s="368"/>
      <c r="B426" s="416"/>
      <c r="C426" s="368"/>
      <c r="D426" s="368"/>
      <c r="E426" s="368"/>
      <c r="F426" s="368"/>
      <c r="G426" s="368"/>
    </row>
    <row r="427" spans="1:7" x14ac:dyDescent="0.25">
      <c r="A427" s="368"/>
      <c r="B427" s="416"/>
      <c r="C427" s="368"/>
      <c r="D427" s="368"/>
      <c r="E427" s="368"/>
      <c r="F427" s="368"/>
      <c r="G427" s="368"/>
    </row>
    <row r="428" spans="1:7" x14ac:dyDescent="0.25">
      <c r="A428" s="368"/>
      <c r="B428" s="416"/>
      <c r="C428" s="368"/>
      <c r="D428" s="368"/>
      <c r="E428" s="368"/>
      <c r="F428" s="368"/>
      <c r="G428" s="368"/>
    </row>
    <row r="429" spans="1:7" x14ac:dyDescent="0.25">
      <c r="A429" s="368"/>
      <c r="B429" s="416"/>
      <c r="C429" s="368"/>
      <c r="D429" s="368"/>
      <c r="E429" s="368"/>
      <c r="F429" s="368"/>
      <c r="G429" s="368"/>
    </row>
    <row r="430" spans="1:7" x14ac:dyDescent="0.25">
      <c r="A430" s="368"/>
      <c r="B430" s="416"/>
      <c r="C430" s="368"/>
      <c r="D430" s="368"/>
      <c r="E430" s="368"/>
      <c r="F430" s="368"/>
      <c r="G430" s="368"/>
    </row>
    <row r="431" spans="1:7" x14ac:dyDescent="0.25">
      <c r="A431" s="368"/>
      <c r="B431" s="416"/>
      <c r="C431" s="368"/>
      <c r="D431" s="368"/>
      <c r="E431" s="368"/>
      <c r="F431" s="368"/>
      <c r="G431" s="368"/>
    </row>
    <row r="432" spans="1:7" x14ac:dyDescent="0.25">
      <c r="A432" s="368"/>
      <c r="B432" s="416"/>
      <c r="C432" s="368"/>
      <c r="D432" s="368"/>
      <c r="E432" s="368"/>
      <c r="F432" s="368"/>
      <c r="G432" s="368"/>
    </row>
    <row r="433" spans="1:7" x14ac:dyDescent="0.25">
      <c r="A433" s="368"/>
      <c r="B433" s="416"/>
      <c r="C433" s="368"/>
      <c r="D433" s="368"/>
      <c r="E433" s="368"/>
      <c r="F433" s="368"/>
      <c r="G433" s="368"/>
    </row>
    <row r="434" spans="1:7" x14ac:dyDescent="0.25">
      <c r="A434" s="368"/>
      <c r="B434" s="416"/>
      <c r="C434" s="368"/>
      <c r="D434" s="368"/>
      <c r="E434" s="368"/>
      <c r="F434" s="368"/>
      <c r="G434" s="368"/>
    </row>
    <row r="435" spans="1:7" x14ac:dyDescent="0.25">
      <c r="A435" s="368"/>
      <c r="B435" s="416"/>
      <c r="C435" s="368"/>
      <c r="D435" s="368"/>
      <c r="E435" s="368"/>
      <c r="F435" s="368"/>
      <c r="G435" s="368"/>
    </row>
    <row r="436" spans="1:7" x14ac:dyDescent="0.25">
      <c r="A436" s="368"/>
      <c r="B436" s="416"/>
      <c r="C436" s="368"/>
      <c r="D436" s="368"/>
      <c r="E436" s="368"/>
      <c r="F436" s="368"/>
      <c r="G436" s="368"/>
    </row>
    <row r="437" spans="1:7" x14ac:dyDescent="0.25">
      <c r="A437" s="368"/>
      <c r="B437" s="416"/>
      <c r="C437" s="368"/>
      <c r="D437" s="368"/>
      <c r="E437" s="368"/>
      <c r="F437" s="368"/>
      <c r="G437" s="368"/>
    </row>
    <row r="438" spans="1:7" x14ac:dyDescent="0.25">
      <c r="A438" s="368"/>
      <c r="B438" s="416"/>
      <c r="C438" s="368"/>
      <c r="D438" s="368"/>
      <c r="E438" s="368"/>
      <c r="F438" s="368"/>
      <c r="G438" s="368"/>
    </row>
    <row r="439" spans="1:7" x14ac:dyDescent="0.25">
      <c r="A439" s="368"/>
      <c r="B439" s="416"/>
      <c r="C439" s="368"/>
      <c r="D439" s="368"/>
      <c r="E439" s="368"/>
      <c r="F439" s="368"/>
      <c r="G439" s="368"/>
    </row>
    <row r="440" spans="1:7" x14ac:dyDescent="0.25">
      <c r="A440" s="368"/>
      <c r="B440" s="416"/>
      <c r="C440" s="368"/>
      <c r="D440" s="368"/>
      <c r="E440" s="368"/>
      <c r="F440" s="368"/>
      <c r="G440" s="368"/>
    </row>
    <row r="441" spans="1:7" x14ac:dyDescent="0.25">
      <c r="A441" s="368"/>
      <c r="B441" s="416"/>
      <c r="C441" s="368"/>
      <c r="D441" s="368"/>
      <c r="E441" s="368"/>
      <c r="F441" s="368"/>
      <c r="G441" s="368"/>
    </row>
    <row r="442" spans="1:7" x14ac:dyDescent="0.25">
      <c r="A442" s="368"/>
      <c r="B442" s="416"/>
      <c r="C442" s="368"/>
      <c r="D442" s="368"/>
      <c r="E442" s="368"/>
      <c r="F442" s="368"/>
      <c r="G442" s="368"/>
    </row>
    <row r="443" spans="1:7" x14ac:dyDescent="0.25">
      <c r="A443" s="368"/>
      <c r="B443" s="416"/>
      <c r="C443" s="368"/>
      <c r="D443" s="368"/>
      <c r="E443" s="368"/>
      <c r="F443" s="368"/>
      <c r="G443" s="368"/>
    </row>
    <row r="444" spans="1:7" x14ac:dyDescent="0.25">
      <c r="A444" s="368"/>
      <c r="B444" s="416"/>
      <c r="C444" s="368"/>
      <c r="D444" s="368"/>
      <c r="E444" s="368"/>
      <c r="F444" s="368"/>
      <c r="G444" s="368"/>
    </row>
    <row r="445" spans="1:7" x14ac:dyDescent="0.25">
      <c r="A445" s="368"/>
      <c r="B445" s="416"/>
      <c r="C445" s="368"/>
      <c r="D445" s="368"/>
      <c r="E445" s="368"/>
      <c r="F445" s="368"/>
      <c r="G445" s="368"/>
    </row>
    <row r="446" spans="1:7" x14ac:dyDescent="0.25">
      <c r="A446" s="368"/>
      <c r="B446" s="416"/>
      <c r="C446" s="368"/>
      <c r="D446" s="368"/>
      <c r="E446" s="368"/>
      <c r="F446" s="368"/>
      <c r="G446" s="368"/>
    </row>
    <row r="447" spans="1:7" x14ac:dyDescent="0.25">
      <c r="A447" s="368"/>
      <c r="B447" s="416"/>
      <c r="C447" s="368"/>
      <c r="D447" s="368"/>
      <c r="E447" s="368"/>
      <c r="F447" s="368"/>
      <c r="G447" s="368"/>
    </row>
    <row r="448" spans="1:7" x14ac:dyDescent="0.25">
      <c r="A448" s="368"/>
      <c r="B448" s="416"/>
      <c r="C448" s="368"/>
      <c r="D448" s="368"/>
      <c r="E448" s="368"/>
      <c r="F448" s="368"/>
      <c r="G448" s="368"/>
    </row>
    <row r="449" spans="1:7" x14ac:dyDescent="0.25">
      <c r="A449" s="368"/>
      <c r="B449" s="416"/>
      <c r="C449" s="368"/>
      <c r="D449" s="368"/>
      <c r="E449" s="368"/>
      <c r="F449" s="368"/>
      <c r="G449" s="368"/>
    </row>
    <row r="450" spans="1:7" x14ac:dyDescent="0.25">
      <c r="A450" s="368"/>
      <c r="B450" s="416"/>
      <c r="C450" s="368"/>
      <c r="D450" s="368"/>
      <c r="E450" s="368"/>
      <c r="F450" s="368"/>
      <c r="G450" s="368"/>
    </row>
    <row r="451" spans="1:7" x14ac:dyDescent="0.25">
      <c r="A451" s="368"/>
      <c r="B451" s="416"/>
      <c r="C451" s="368"/>
      <c r="D451" s="368"/>
      <c r="E451" s="368"/>
      <c r="F451" s="368"/>
      <c r="G451" s="368"/>
    </row>
    <row r="452" spans="1:7" x14ac:dyDescent="0.25">
      <c r="A452" s="368"/>
      <c r="B452" s="416"/>
      <c r="C452" s="368"/>
      <c r="D452" s="368"/>
      <c r="E452" s="368"/>
      <c r="F452" s="368"/>
      <c r="G452" s="368"/>
    </row>
    <row r="453" spans="1:7" x14ac:dyDescent="0.25">
      <c r="A453" s="368"/>
      <c r="B453" s="416"/>
      <c r="C453" s="368"/>
      <c r="D453" s="368"/>
      <c r="E453" s="368"/>
      <c r="F453" s="368"/>
      <c r="G453" s="368"/>
    </row>
    <row r="454" spans="1:7" x14ac:dyDescent="0.25">
      <c r="A454" s="368"/>
      <c r="B454" s="416"/>
      <c r="C454" s="368"/>
      <c r="D454" s="368"/>
      <c r="E454" s="368"/>
      <c r="F454" s="368"/>
      <c r="G454" s="368"/>
    </row>
    <row r="455" spans="1:7" x14ac:dyDescent="0.25">
      <c r="A455" s="368"/>
      <c r="B455" s="416"/>
      <c r="C455" s="368"/>
      <c r="D455" s="368"/>
      <c r="E455" s="368"/>
      <c r="F455" s="368"/>
      <c r="G455" s="368"/>
    </row>
    <row r="456" spans="1:7" x14ac:dyDescent="0.25">
      <c r="A456" s="368"/>
      <c r="B456" s="416"/>
      <c r="C456" s="368"/>
      <c r="D456" s="368"/>
      <c r="E456" s="368"/>
      <c r="F456" s="368"/>
      <c r="G456" s="368"/>
    </row>
    <row r="457" spans="1:7" x14ac:dyDescent="0.25">
      <c r="A457" s="368"/>
      <c r="B457" s="416"/>
      <c r="C457" s="368"/>
      <c r="D457" s="368"/>
      <c r="E457" s="368"/>
      <c r="F457" s="368"/>
      <c r="G457" s="368"/>
    </row>
    <row r="458" spans="1:7" x14ac:dyDescent="0.25">
      <c r="A458" s="368"/>
      <c r="B458" s="416"/>
      <c r="C458" s="368"/>
      <c r="D458" s="368"/>
      <c r="E458" s="368"/>
      <c r="F458" s="368"/>
      <c r="G458" s="368"/>
    </row>
    <row r="459" spans="1:7" x14ac:dyDescent="0.25">
      <c r="A459" s="368"/>
      <c r="B459" s="416"/>
      <c r="C459" s="368"/>
      <c r="D459" s="368"/>
      <c r="E459" s="368"/>
      <c r="F459" s="368"/>
      <c r="G459" s="368"/>
    </row>
    <row r="460" spans="1:7" x14ac:dyDescent="0.25">
      <c r="A460" s="368"/>
      <c r="B460" s="416"/>
      <c r="C460" s="368"/>
      <c r="D460" s="368"/>
      <c r="E460" s="368"/>
      <c r="F460" s="368"/>
      <c r="G460" s="368"/>
    </row>
    <row r="461" spans="1:7" x14ac:dyDescent="0.25">
      <c r="A461" s="368"/>
      <c r="B461" s="416"/>
      <c r="C461" s="368"/>
      <c r="D461" s="368"/>
      <c r="E461" s="368"/>
      <c r="F461" s="368"/>
      <c r="G461" s="368"/>
    </row>
    <row r="462" spans="1:7" x14ac:dyDescent="0.25">
      <c r="A462" s="368"/>
      <c r="B462" s="416"/>
      <c r="C462" s="368"/>
      <c r="D462" s="368"/>
      <c r="E462" s="368"/>
      <c r="F462" s="368"/>
      <c r="G462" s="368"/>
    </row>
    <row r="463" spans="1:7" x14ac:dyDescent="0.25">
      <c r="A463" s="368"/>
      <c r="B463" s="416"/>
      <c r="C463" s="368"/>
      <c r="D463" s="368"/>
      <c r="E463" s="368"/>
      <c r="F463" s="368"/>
      <c r="G463" s="368"/>
    </row>
    <row r="464" spans="1:7" x14ac:dyDescent="0.25">
      <c r="A464" s="368"/>
      <c r="B464" s="416"/>
      <c r="C464" s="368"/>
      <c r="D464" s="368"/>
      <c r="E464" s="368"/>
      <c r="F464" s="368"/>
      <c r="G464" s="368"/>
    </row>
    <row r="465" spans="1:7" x14ac:dyDescent="0.25">
      <c r="A465" s="368"/>
      <c r="B465" s="416"/>
      <c r="C465" s="368"/>
      <c r="D465" s="368"/>
      <c r="E465" s="368"/>
      <c r="F465" s="368"/>
      <c r="G465" s="368"/>
    </row>
    <row r="466" spans="1:7" x14ac:dyDescent="0.25">
      <c r="A466" s="368"/>
      <c r="B466" s="416"/>
      <c r="C466" s="368"/>
      <c r="D466" s="368"/>
      <c r="E466" s="368"/>
      <c r="F466" s="368"/>
      <c r="G466" s="368"/>
    </row>
    <row r="467" spans="1:7" x14ac:dyDescent="0.25">
      <c r="A467" s="368"/>
      <c r="B467" s="416"/>
      <c r="C467" s="368"/>
      <c r="D467" s="368"/>
      <c r="E467" s="368"/>
      <c r="F467" s="368"/>
      <c r="G467" s="368"/>
    </row>
    <row r="468" spans="1:7" x14ac:dyDescent="0.25">
      <c r="A468" s="368"/>
      <c r="B468" s="416"/>
      <c r="C468" s="368"/>
      <c r="D468" s="368"/>
      <c r="E468" s="368"/>
      <c r="F468" s="368"/>
      <c r="G468" s="368"/>
    </row>
    <row r="469" spans="1:7" x14ac:dyDescent="0.25">
      <c r="A469" s="368"/>
      <c r="B469" s="416"/>
      <c r="C469" s="368"/>
      <c r="D469" s="368"/>
      <c r="E469" s="368"/>
      <c r="F469" s="368"/>
      <c r="G469" s="368"/>
    </row>
    <row r="470" spans="1:7" x14ac:dyDescent="0.25">
      <c r="A470" s="368"/>
      <c r="B470" s="416"/>
      <c r="C470" s="368"/>
      <c r="D470" s="368"/>
      <c r="E470" s="368"/>
      <c r="F470" s="368"/>
      <c r="G470" s="368"/>
    </row>
    <row r="471" spans="1:7" x14ac:dyDescent="0.25">
      <c r="A471" s="368"/>
      <c r="B471" s="416"/>
      <c r="C471" s="368"/>
      <c r="D471" s="368"/>
      <c r="E471" s="368"/>
      <c r="F471" s="368"/>
      <c r="G471" s="368"/>
    </row>
    <row r="472" spans="1:7" x14ac:dyDescent="0.25">
      <c r="A472" s="368"/>
      <c r="B472" s="416"/>
      <c r="C472" s="368"/>
      <c r="D472" s="368"/>
      <c r="E472" s="368"/>
      <c r="F472" s="368"/>
      <c r="G472" s="368"/>
    </row>
    <row r="473" spans="1:7" x14ac:dyDescent="0.25">
      <c r="A473" s="368"/>
      <c r="B473" s="416"/>
      <c r="C473" s="368"/>
      <c r="D473" s="368"/>
      <c r="E473" s="368"/>
      <c r="F473" s="368"/>
      <c r="G473" s="368"/>
    </row>
    <row r="474" spans="1:7" x14ac:dyDescent="0.25">
      <c r="A474" s="368"/>
      <c r="B474" s="416"/>
      <c r="C474" s="368"/>
      <c r="D474" s="368"/>
      <c r="E474" s="368"/>
      <c r="F474" s="368"/>
      <c r="G474" s="368"/>
    </row>
    <row r="475" spans="1:7" x14ac:dyDescent="0.25">
      <c r="A475" s="368"/>
      <c r="B475" s="416"/>
      <c r="C475" s="368"/>
      <c r="D475" s="368"/>
      <c r="E475" s="368"/>
      <c r="F475" s="368"/>
      <c r="G475" s="368"/>
    </row>
    <row r="476" spans="1:7" x14ac:dyDescent="0.25">
      <c r="A476" s="368"/>
      <c r="B476" s="416"/>
      <c r="C476" s="368"/>
      <c r="D476" s="368"/>
      <c r="E476" s="368"/>
      <c r="F476" s="368"/>
      <c r="G476" s="368"/>
    </row>
    <row r="477" spans="1:7" x14ac:dyDescent="0.25">
      <c r="A477" s="368"/>
      <c r="B477" s="416"/>
      <c r="C477" s="368"/>
      <c r="D477" s="368"/>
      <c r="E477" s="368"/>
      <c r="F477" s="368"/>
      <c r="G477" s="368"/>
    </row>
    <row r="478" spans="1:7" x14ac:dyDescent="0.25">
      <c r="A478" s="368"/>
      <c r="B478" s="416"/>
      <c r="C478" s="368"/>
      <c r="D478" s="368"/>
      <c r="E478" s="368"/>
      <c r="F478" s="368"/>
      <c r="G478" s="368"/>
    </row>
    <row r="479" spans="1:7" x14ac:dyDescent="0.25">
      <c r="A479" s="368"/>
      <c r="B479" s="416"/>
      <c r="C479" s="368"/>
      <c r="D479" s="368"/>
      <c r="E479" s="368"/>
      <c r="F479" s="368"/>
      <c r="G479" s="368"/>
    </row>
    <row r="480" spans="1:7" x14ac:dyDescent="0.25">
      <c r="A480" s="368"/>
      <c r="B480" s="416"/>
      <c r="C480" s="368"/>
      <c r="D480" s="368"/>
      <c r="E480" s="368"/>
      <c r="F480" s="368"/>
      <c r="G480" s="368"/>
    </row>
    <row r="481" spans="1:7" x14ac:dyDescent="0.25">
      <c r="A481" s="368"/>
      <c r="B481" s="416"/>
      <c r="C481" s="368"/>
      <c r="D481" s="368"/>
      <c r="E481" s="368"/>
      <c r="F481" s="368"/>
      <c r="G481" s="368"/>
    </row>
    <row r="482" spans="1:7" x14ac:dyDescent="0.25">
      <c r="A482" s="368"/>
      <c r="B482" s="416"/>
      <c r="C482" s="368"/>
      <c r="D482" s="368"/>
      <c r="E482" s="368"/>
      <c r="F482" s="368"/>
      <c r="G482" s="368"/>
    </row>
    <row r="483" spans="1:7" x14ac:dyDescent="0.25">
      <c r="A483" s="368"/>
      <c r="B483" s="416"/>
      <c r="C483" s="368"/>
      <c r="D483" s="368"/>
      <c r="E483" s="368"/>
      <c r="F483" s="368"/>
      <c r="G483" s="368"/>
    </row>
    <row r="484" spans="1:7" x14ac:dyDescent="0.25">
      <c r="A484" s="368"/>
      <c r="B484" s="416"/>
      <c r="C484" s="368"/>
      <c r="D484" s="368"/>
      <c r="E484" s="368"/>
      <c r="F484" s="368"/>
      <c r="G484" s="368"/>
    </row>
    <row r="485" spans="1:7" x14ac:dyDescent="0.25">
      <c r="A485" s="368"/>
      <c r="B485" s="416"/>
      <c r="C485" s="368"/>
      <c r="D485" s="368"/>
      <c r="E485" s="368"/>
      <c r="F485" s="368"/>
      <c r="G485" s="368"/>
    </row>
    <row r="486" spans="1:7" x14ac:dyDescent="0.25">
      <c r="A486" s="368"/>
      <c r="B486" s="416"/>
      <c r="C486" s="368"/>
      <c r="D486" s="368"/>
      <c r="E486" s="368"/>
      <c r="F486" s="368"/>
      <c r="G486" s="368"/>
    </row>
    <row r="487" spans="1:7" x14ac:dyDescent="0.25">
      <c r="A487" s="368"/>
      <c r="B487" s="416"/>
      <c r="C487" s="368"/>
      <c r="D487" s="368"/>
      <c r="E487" s="368"/>
      <c r="F487" s="368"/>
      <c r="G487" s="368"/>
    </row>
    <row r="488" spans="1:7" x14ac:dyDescent="0.25">
      <c r="A488" s="368"/>
      <c r="B488" s="416"/>
      <c r="C488" s="368"/>
      <c r="D488" s="368"/>
      <c r="E488" s="368"/>
      <c r="F488" s="368"/>
      <c r="G488" s="368"/>
    </row>
    <row r="489" spans="1:7" x14ac:dyDescent="0.25">
      <c r="A489" s="368"/>
      <c r="B489" s="416"/>
      <c r="C489" s="368"/>
      <c r="D489" s="368"/>
      <c r="E489" s="368"/>
      <c r="F489" s="368"/>
      <c r="G489" s="368"/>
    </row>
    <row r="490" spans="1:7" x14ac:dyDescent="0.25">
      <c r="A490" s="368"/>
      <c r="B490" s="416"/>
      <c r="C490" s="368"/>
      <c r="D490" s="368"/>
      <c r="E490" s="368"/>
      <c r="F490" s="368"/>
      <c r="G490" s="368"/>
    </row>
    <row r="491" spans="1:7" x14ac:dyDescent="0.25">
      <c r="A491" s="368"/>
      <c r="B491" s="416"/>
      <c r="C491" s="368"/>
      <c r="D491" s="368"/>
      <c r="E491" s="368"/>
      <c r="F491" s="368"/>
      <c r="G491" s="368"/>
    </row>
    <row r="492" spans="1:7" x14ac:dyDescent="0.25">
      <c r="A492" s="368"/>
      <c r="B492" s="416"/>
      <c r="C492" s="368"/>
      <c r="D492" s="368"/>
      <c r="E492" s="368"/>
      <c r="F492" s="368"/>
      <c r="G492" s="368"/>
    </row>
    <row r="493" spans="1:7" x14ac:dyDescent="0.25">
      <c r="A493" s="368"/>
      <c r="B493" s="416"/>
      <c r="C493" s="368"/>
      <c r="D493" s="368"/>
      <c r="E493" s="368"/>
      <c r="F493" s="368"/>
      <c r="G493" s="368"/>
    </row>
    <row r="494" spans="1:7" x14ac:dyDescent="0.25">
      <c r="A494" s="368"/>
      <c r="B494" s="416"/>
      <c r="C494" s="368"/>
      <c r="D494" s="368"/>
      <c r="E494" s="368"/>
      <c r="F494" s="368"/>
      <c r="G494" s="368"/>
    </row>
    <row r="495" spans="1:7" x14ac:dyDescent="0.25">
      <c r="A495" s="368"/>
      <c r="B495" s="416"/>
      <c r="C495" s="368"/>
      <c r="D495" s="368"/>
      <c r="E495" s="368"/>
      <c r="F495" s="368"/>
      <c r="G495" s="368"/>
    </row>
    <row r="496" spans="1:7" x14ac:dyDescent="0.25">
      <c r="A496" s="368"/>
      <c r="B496" s="416"/>
      <c r="C496" s="368"/>
      <c r="D496" s="368"/>
      <c r="E496" s="368"/>
      <c r="F496" s="368"/>
      <c r="G496" s="368"/>
    </row>
    <row r="497" spans="1:7" x14ac:dyDescent="0.25">
      <c r="A497" s="368"/>
      <c r="B497" s="416"/>
      <c r="C497" s="368"/>
      <c r="D497" s="368"/>
      <c r="E497" s="368"/>
      <c r="F497" s="368"/>
      <c r="G497" s="368"/>
    </row>
    <row r="498" spans="1:7" x14ac:dyDescent="0.25">
      <c r="A498" s="368"/>
      <c r="B498" s="416"/>
      <c r="C498" s="368"/>
      <c r="D498" s="368"/>
      <c r="E498" s="368"/>
      <c r="F498" s="368"/>
      <c r="G498" s="368"/>
    </row>
    <row r="499" spans="1:7" x14ac:dyDescent="0.25">
      <c r="A499" s="368"/>
      <c r="B499" s="416"/>
      <c r="C499" s="368"/>
      <c r="D499" s="368"/>
      <c r="E499" s="368"/>
      <c r="F499" s="368"/>
      <c r="G499" s="368"/>
    </row>
    <row r="500" spans="1:7" x14ac:dyDescent="0.25">
      <c r="A500" s="368"/>
      <c r="B500" s="416"/>
      <c r="C500" s="368"/>
      <c r="D500" s="368"/>
      <c r="E500" s="368"/>
      <c r="F500" s="368"/>
      <c r="G500" s="368"/>
    </row>
    <row r="501" spans="1:7" x14ac:dyDescent="0.25">
      <c r="A501" s="368"/>
      <c r="B501" s="416"/>
      <c r="C501" s="368"/>
      <c r="D501" s="368"/>
      <c r="E501" s="368"/>
      <c r="F501" s="368"/>
      <c r="G501" s="368"/>
    </row>
    <row r="502" spans="1:7" x14ac:dyDescent="0.25">
      <c r="A502" s="368"/>
      <c r="B502" s="416"/>
      <c r="C502" s="368"/>
      <c r="D502" s="368"/>
      <c r="E502" s="368"/>
      <c r="F502" s="368"/>
      <c r="G502" s="368"/>
    </row>
    <row r="503" spans="1:7" x14ac:dyDescent="0.25">
      <c r="A503" s="368"/>
      <c r="B503" s="416"/>
      <c r="C503" s="368"/>
      <c r="D503" s="368"/>
      <c r="E503" s="368"/>
      <c r="F503" s="368"/>
      <c r="G503" s="368"/>
    </row>
    <row r="504" spans="1:7" x14ac:dyDescent="0.25">
      <c r="A504" s="368"/>
      <c r="B504" s="416"/>
      <c r="C504" s="368"/>
      <c r="D504" s="368"/>
      <c r="E504" s="368"/>
      <c r="F504" s="368"/>
      <c r="G504" s="368"/>
    </row>
    <row r="505" spans="1:7" x14ac:dyDescent="0.25">
      <c r="A505" s="368"/>
      <c r="B505" s="416"/>
      <c r="C505" s="368"/>
      <c r="D505" s="368"/>
      <c r="E505" s="368"/>
      <c r="F505" s="368"/>
      <c r="G505" s="368"/>
    </row>
    <row r="506" spans="1:7" x14ac:dyDescent="0.25">
      <c r="A506" s="368"/>
      <c r="B506" s="416"/>
      <c r="C506" s="368"/>
      <c r="D506" s="368"/>
      <c r="E506" s="368"/>
      <c r="F506" s="368"/>
      <c r="G506" s="368"/>
    </row>
    <row r="507" spans="1:7" x14ac:dyDescent="0.25">
      <c r="A507" s="368"/>
      <c r="B507" s="416"/>
      <c r="C507" s="368"/>
      <c r="D507" s="368"/>
      <c r="E507" s="368"/>
      <c r="F507" s="368"/>
      <c r="G507" s="368"/>
    </row>
    <row r="508" spans="1:7" x14ac:dyDescent="0.25">
      <c r="A508" s="368"/>
      <c r="B508" s="416"/>
      <c r="C508" s="368"/>
      <c r="D508" s="368"/>
      <c r="E508" s="368"/>
      <c r="F508" s="368"/>
      <c r="G508" s="368"/>
    </row>
    <row r="509" spans="1:7" x14ac:dyDescent="0.25">
      <c r="A509" s="368"/>
      <c r="B509" s="416"/>
      <c r="C509" s="368"/>
      <c r="D509" s="368"/>
      <c r="E509" s="368"/>
      <c r="F509" s="368"/>
      <c r="G509" s="368"/>
    </row>
    <row r="510" spans="1:7" x14ac:dyDescent="0.25">
      <c r="A510" s="368"/>
      <c r="B510" s="416"/>
      <c r="C510" s="368"/>
      <c r="D510" s="368"/>
      <c r="E510" s="368"/>
      <c r="F510" s="368"/>
      <c r="G510" s="368"/>
    </row>
    <row r="511" spans="1:7" x14ac:dyDescent="0.25">
      <c r="A511" s="368"/>
      <c r="B511" s="416"/>
      <c r="C511" s="368"/>
      <c r="D511" s="368"/>
      <c r="E511" s="368"/>
      <c r="F511" s="368"/>
      <c r="G511" s="368"/>
    </row>
    <row r="512" spans="1:7" x14ac:dyDescent="0.25">
      <c r="A512" s="368"/>
      <c r="B512" s="416"/>
      <c r="C512" s="368"/>
      <c r="D512" s="368"/>
      <c r="E512" s="368"/>
      <c r="F512" s="368"/>
      <c r="G512" s="368"/>
    </row>
    <row r="513" spans="1:7" x14ac:dyDescent="0.25">
      <c r="A513" s="368"/>
      <c r="B513" s="416"/>
      <c r="C513" s="368"/>
      <c r="D513" s="368"/>
      <c r="E513" s="368"/>
      <c r="F513" s="368"/>
      <c r="G513" s="368"/>
    </row>
    <row r="514" spans="1:7" x14ac:dyDescent="0.25">
      <c r="A514" s="368"/>
      <c r="B514" s="416"/>
      <c r="C514" s="368"/>
      <c r="D514" s="368"/>
      <c r="E514" s="368"/>
      <c r="F514" s="368"/>
      <c r="G514" s="368"/>
    </row>
  </sheetData>
  <sheetProtection sheet="1" objects="1" scenarios="1"/>
  <mergeCells count="15">
    <mergeCell ref="A1:E1"/>
    <mergeCell ref="A2:E2"/>
    <mergeCell ref="A3:E3"/>
    <mergeCell ref="A9:E9"/>
    <mergeCell ref="A10:E10"/>
    <mergeCell ref="B311:C311"/>
    <mergeCell ref="A11:E11"/>
    <mergeCell ref="A12:E12"/>
    <mergeCell ref="A48:E48"/>
    <mergeCell ref="A49:E49"/>
    <mergeCell ref="B57:C57"/>
    <mergeCell ref="A55:B55"/>
    <mergeCell ref="C55:E55"/>
    <mergeCell ref="A56:B56"/>
    <mergeCell ref="C56:E56"/>
  </mergeCells>
  <pageMargins left="0.45" right="0.25" top="0.75" bottom="0" header="0.3" footer="0.3"/>
  <pageSetup scale="7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63" t="s">
        <v>1248</v>
      </c>
    </row>
    <row r="4" spans="2:10" x14ac:dyDescent="0.25">
      <c r="B4" s="17" t="s">
        <v>356</v>
      </c>
    </row>
    <row r="7" spans="2:10" x14ac:dyDescent="0.25">
      <c r="B7" s="15">
        <v>2022</v>
      </c>
      <c r="C7" s="111" t="s">
        <v>7</v>
      </c>
      <c r="D7" s="111" t="s">
        <v>7</v>
      </c>
      <c r="E7" s="111" t="s">
        <v>7</v>
      </c>
      <c r="F7" s="111" t="s">
        <v>7</v>
      </c>
      <c r="G7" s="17"/>
    </row>
    <row r="8" spans="2:10" ht="45" x14ac:dyDescent="0.25">
      <c r="B8" s="114"/>
      <c r="C8" s="4" t="s">
        <v>357</v>
      </c>
      <c r="D8" s="4" t="s">
        <v>358</v>
      </c>
      <c r="E8" s="115" t="s">
        <v>1249</v>
      </c>
      <c r="F8" s="116" t="s">
        <v>360</v>
      </c>
      <c r="G8" s="107"/>
    </row>
    <row r="9" spans="2:10" x14ac:dyDescent="0.25">
      <c r="B9" s="12" t="s">
        <v>1250</v>
      </c>
      <c r="C9" s="121">
        <v>449507907.79000002</v>
      </c>
      <c r="D9" s="121">
        <v>122232782.17</v>
      </c>
      <c r="E9" s="122">
        <v>2729227.82</v>
      </c>
      <c r="F9" s="122">
        <f>SUM(C9:E9)</f>
        <v>574469917.78000009</v>
      </c>
      <c r="G9" s="107"/>
    </row>
    <row r="10" spans="2:10" x14ac:dyDescent="0.25">
      <c r="B10" s="13" t="s">
        <v>369</v>
      </c>
      <c r="C10" s="171">
        <v>0</v>
      </c>
      <c r="D10" s="125">
        <v>0</v>
      </c>
      <c r="E10" s="125">
        <v>0</v>
      </c>
      <c r="F10" s="147">
        <f>SUM(C10:E10)</f>
        <v>0</v>
      </c>
      <c r="G10" s="107"/>
      <c r="H10" t="s">
        <v>1251</v>
      </c>
    </row>
    <row r="11" spans="2:10" x14ac:dyDescent="0.25">
      <c r="B11" s="12">
        <v>2021</v>
      </c>
      <c r="C11" s="125">
        <f>SUM(C9:C10)</f>
        <v>449507907.79000002</v>
      </c>
      <c r="D11" s="125">
        <f>SUM(D9:D10)</f>
        <v>122232782.17</v>
      </c>
      <c r="E11" s="126">
        <f>SUM(E9:E10)</f>
        <v>2729227.82</v>
      </c>
      <c r="F11" s="126">
        <f>SUM(F9:F10)</f>
        <v>574469917.78000009</v>
      </c>
      <c r="G11" s="107"/>
    </row>
    <row r="12" spans="2:10" ht="13.5" customHeight="1" x14ac:dyDescent="0.25">
      <c r="B12" s="12"/>
      <c r="C12" s="121"/>
      <c r="D12" s="121"/>
      <c r="E12" s="122"/>
      <c r="F12" s="122"/>
      <c r="G12" s="107"/>
    </row>
    <row r="13" spans="2:10" x14ac:dyDescent="0.25">
      <c r="B13" s="12" t="s">
        <v>364</v>
      </c>
      <c r="C13" s="117"/>
      <c r="D13" s="117"/>
      <c r="E13" s="118"/>
      <c r="F13" s="118"/>
      <c r="G13" s="107"/>
    </row>
    <row r="14" spans="2:10" x14ac:dyDescent="0.25">
      <c r="B14" s="13" t="s">
        <v>365</v>
      </c>
      <c r="C14" s="172">
        <v>-421749166.25</v>
      </c>
      <c r="D14" s="123">
        <v>-93251455.700000003</v>
      </c>
      <c r="E14" s="124">
        <v>-1628502.77</v>
      </c>
      <c r="F14" s="124">
        <f>SUM(C14:E14)</f>
        <v>-516629124.71999997</v>
      </c>
      <c r="G14" s="107"/>
      <c r="J14" t="s">
        <v>1252</v>
      </c>
    </row>
    <row r="15" spans="2:10" x14ac:dyDescent="0.25">
      <c r="B15" s="13" t="s">
        <v>366</v>
      </c>
      <c r="C15" s="146">
        <f>-1000930.82-168624.26-6845.11</f>
        <v>-1176400.1900000002</v>
      </c>
      <c r="D15" s="146">
        <f>-17087.82-164344.35-1563.6-6178.8-3615.91</f>
        <v>-192790.48</v>
      </c>
      <c r="E15" s="147">
        <f>-3233.48-10733.72-573.56</f>
        <v>-14540.759999999998</v>
      </c>
      <c r="F15" s="147">
        <f>SUM(C15:E15)</f>
        <v>-1383731.4300000002</v>
      </c>
      <c r="G15" s="107"/>
      <c r="H15" s="18">
        <v>4111062.73</v>
      </c>
      <c r="I15" s="18">
        <v>7417352.54</v>
      </c>
      <c r="J15" s="133">
        <f>+I15-H15</f>
        <v>3306289.81</v>
      </c>
    </row>
    <row r="16" spans="2:10" x14ac:dyDescent="0.25">
      <c r="B16" s="12" t="s">
        <v>367</v>
      </c>
      <c r="C16" s="125">
        <f>SUM(C14:C15)</f>
        <v>-422925566.44</v>
      </c>
      <c r="D16" s="125">
        <f>SUM(D14:D15)</f>
        <v>-93444246.180000007</v>
      </c>
      <c r="E16" s="126">
        <f>SUM(E14:E15)</f>
        <v>-1643043.53</v>
      </c>
      <c r="F16" s="126">
        <f>SUM(F14:F15)</f>
        <v>-518012856.14999998</v>
      </c>
      <c r="G16" s="107"/>
    </row>
    <row r="17" spans="2:8" ht="15.75" thickBot="1" x14ac:dyDescent="0.3">
      <c r="B17" s="6" t="s">
        <v>1253</v>
      </c>
      <c r="C17" s="119">
        <f>+C11+C16</f>
        <v>26582341.350000024</v>
      </c>
      <c r="D17" s="119">
        <f>+D11+D16</f>
        <v>28788535.989999995</v>
      </c>
      <c r="E17" s="120">
        <f>+E11+E16</f>
        <v>1086184.2899999998</v>
      </c>
      <c r="F17" s="120">
        <f>+F11+F16</f>
        <v>56457061.630000114</v>
      </c>
      <c r="G17" s="107"/>
    </row>
    <row r="18" spans="2:8" ht="15.75" thickTop="1" x14ac:dyDescent="0.25">
      <c r="H18" s="16">
        <f>F17-F15</f>
        <v>57840793.060000114</v>
      </c>
    </row>
    <row r="19" spans="2:8" x14ac:dyDescent="0.25">
      <c r="C19" s="64" t="s">
        <v>7</v>
      </c>
      <c r="D19" s="64" t="s">
        <v>7</v>
      </c>
      <c r="E19" s="64" t="s">
        <v>7</v>
      </c>
      <c r="F19" s="16" t="s">
        <v>7</v>
      </c>
    </row>
    <row r="20" spans="2:8" x14ac:dyDescent="0.25">
      <c r="B20" s="15">
        <v>2020</v>
      </c>
      <c r="C20" s="17"/>
      <c r="D20" s="17"/>
      <c r="E20" s="17"/>
      <c r="F20" s="17"/>
    </row>
    <row r="21" spans="2:8" ht="30" x14ac:dyDescent="0.25">
      <c r="B21" s="114"/>
      <c r="C21" s="4" t="s">
        <v>357</v>
      </c>
      <c r="D21" s="4" t="s">
        <v>358</v>
      </c>
      <c r="E21" s="115" t="s">
        <v>359</v>
      </c>
      <c r="F21" s="116" t="s">
        <v>360</v>
      </c>
    </row>
    <row r="22" spans="2:8" x14ac:dyDescent="0.25">
      <c r="B22" s="12" t="s">
        <v>368</v>
      </c>
      <c r="C22" s="152">
        <v>440519234.88999999</v>
      </c>
      <c r="D22" s="152">
        <v>115086882.84</v>
      </c>
      <c r="E22" s="153">
        <v>2050790.8</v>
      </c>
      <c r="F22" s="153">
        <f>SUM(A22:E22)</f>
        <v>557656908.52999997</v>
      </c>
    </row>
    <row r="23" spans="2:8" ht="15.75" thickBot="1" x14ac:dyDescent="0.3">
      <c r="B23" s="13" t="s">
        <v>369</v>
      </c>
      <c r="C23" s="152">
        <v>3719107.44</v>
      </c>
      <c r="D23" s="58">
        <v>0</v>
      </c>
      <c r="E23" s="152">
        <v>0</v>
      </c>
      <c r="F23" s="153">
        <f>SUM(A23:E23)</f>
        <v>3719107.44</v>
      </c>
    </row>
    <row r="24" spans="2:8" ht="15.75" thickBot="1" x14ac:dyDescent="0.3">
      <c r="B24" s="13" t="s">
        <v>1254</v>
      </c>
      <c r="C24" s="154">
        <f>SUM(C22:C23)</f>
        <v>444238342.32999998</v>
      </c>
      <c r="D24" s="154">
        <f>SUM(D22:D23)</f>
        <v>115086882.84</v>
      </c>
      <c r="E24" s="155">
        <f>SUM(E22:E23)</f>
        <v>2050790.8</v>
      </c>
      <c r="F24" s="155">
        <f>SUM(F22:F23)</f>
        <v>561376015.97000003</v>
      </c>
    </row>
    <row r="25" spans="2:8" ht="15.75" thickTop="1" x14ac:dyDescent="0.25">
      <c r="B25" s="12" t="s">
        <v>364</v>
      </c>
      <c r="C25" s="117"/>
      <c r="D25" s="117"/>
      <c r="E25" s="118"/>
      <c r="F25" s="118"/>
    </row>
    <row r="26" spans="2:8" x14ac:dyDescent="0.25">
      <c r="B26" s="13" t="s">
        <v>365</v>
      </c>
      <c r="C26" s="152">
        <v>-408005496.06999999</v>
      </c>
      <c r="D26" s="152">
        <v>-90345100.040000007</v>
      </c>
      <c r="E26" s="153">
        <v>-1578376.17</v>
      </c>
      <c r="F26" s="153">
        <f>SUM(A26:E26)</f>
        <v>-499928972.28000003</v>
      </c>
    </row>
    <row r="27" spans="2:8" ht="15.75" thickBot="1" x14ac:dyDescent="0.3">
      <c r="B27" s="13" t="s">
        <v>366</v>
      </c>
      <c r="C27" s="174">
        <f>-1971303.12-297092.97</f>
        <v>-2268396.09</v>
      </c>
      <c r="D27" s="175">
        <f>-163401.13-34660.85</f>
        <v>-198061.98</v>
      </c>
      <c r="E27" s="176">
        <v>-6468.2</v>
      </c>
      <c r="F27" s="153">
        <f>SUM(A27:E27)</f>
        <v>-2472926.27</v>
      </c>
    </row>
    <row r="28" spans="2:8" ht="15.75" thickBot="1" x14ac:dyDescent="0.3">
      <c r="B28" s="13" t="s">
        <v>367</v>
      </c>
      <c r="C28" s="156">
        <f>SUM(C26:C27)</f>
        <v>-410273892.15999997</v>
      </c>
      <c r="D28" s="156">
        <f>SUM(D25:D27)</f>
        <v>-90543162.020000011</v>
      </c>
      <c r="E28" s="157">
        <f>SUM(E25:E27)</f>
        <v>-1584844.3699999999</v>
      </c>
      <c r="F28" s="158">
        <f>SUM(F25:F27)</f>
        <v>-502401898.55000001</v>
      </c>
    </row>
    <row r="29" spans="2:8" ht="15.75" thickBot="1" x14ac:dyDescent="0.3">
      <c r="B29" s="6" t="s">
        <v>1255</v>
      </c>
      <c r="C29" s="154">
        <f>C24+C28</f>
        <v>33964450.170000017</v>
      </c>
      <c r="D29" s="154">
        <f>D24+D28</f>
        <v>24543720.819999993</v>
      </c>
      <c r="E29" s="154">
        <f>E24+E28</f>
        <v>465946.43000000017</v>
      </c>
      <c r="F29" s="154">
        <f>F24+F28</f>
        <v>58974117.420000017</v>
      </c>
    </row>
    <row r="30" spans="2:8" ht="15.75" thickTop="1" x14ac:dyDescent="0.25">
      <c r="C30" s="123"/>
      <c r="D30" s="123"/>
      <c r="E30" s="124"/>
      <c r="F30" s="124"/>
    </row>
    <row r="31" spans="2:8" x14ac:dyDescent="0.25">
      <c r="F31" s="75"/>
    </row>
    <row r="33" spans="6:6" x14ac:dyDescent="0.25">
      <c r="F33" s="70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F805"/>
  <sheetViews>
    <sheetView topLeftCell="A185" workbookViewId="0">
      <selection activeCell="F182" sqref="F182:F186"/>
    </sheetView>
  </sheetViews>
  <sheetFormatPr baseColWidth="10" defaultColWidth="11.42578125" defaultRowHeight="15" x14ac:dyDescent="0.25"/>
  <cols>
    <col min="1" max="1" width="6" customWidth="1"/>
    <col min="3" max="3" width="21.140625" customWidth="1"/>
    <col min="4" max="4" width="49.42578125" customWidth="1"/>
    <col min="5" max="5" width="38.5703125" customWidth="1"/>
    <col min="6" max="6" width="16.7109375" customWidth="1"/>
  </cols>
  <sheetData>
    <row r="5" spans="2:6" ht="18.75" x14ac:dyDescent="0.3">
      <c r="B5" s="445" t="s">
        <v>2511</v>
      </c>
      <c r="C5" s="445"/>
      <c r="D5" s="445"/>
      <c r="E5" s="445"/>
      <c r="F5" s="445"/>
    </row>
    <row r="6" spans="2:6" ht="18.75" x14ac:dyDescent="0.3">
      <c r="B6" s="445" t="s">
        <v>2226</v>
      </c>
      <c r="C6" s="445"/>
      <c r="D6" s="445"/>
      <c r="E6" s="445"/>
      <c r="F6" s="445"/>
    </row>
    <row r="7" spans="2:6" ht="18.75" x14ac:dyDescent="0.3">
      <c r="B7" s="445" t="s">
        <v>2</v>
      </c>
      <c r="C7" s="445"/>
      <c r="D7" s="445"/>
      <c r="E7" s="445"/>
      <c r="F7" s="445"/>
    </row>
    <row r="8" spans="2:6" ht="18.75" x14ac:dyDescent="0.25">
      <c r="B8" s="446"/>
      <c r="C8" s="446"/>
      <c r="D8" s="446"/>
      <c r="E8" s="446"/>
      <c r="F8" s="446"/>
    </row>
    <row r="9" spans="2:6" ht="18.75" x14ac:dyDescent="0.25">
      <c r="B9" s="444"/>
      <c r="C9" s="444"/>
      <c r="D9" s="444"/>
      <c r="E9" s="444"/>
      <c r="F9" s="444"/>
    </row>
    <row r="10" spans="2:6" ht="18.75" x14ac:dyDescent="0.25">
      <c r="B10" s="296" t="s">
        <v>2512</v>
      </c>
      <c r="C10" s="292"/>
      <c r="D10" s="293"/>
      <c r="E10" s="294"/>
      <c r="F10" s="295"/>
    </row>
    <row r="11" spans="2:6" ht="22.5" customHeight="1" x14ac:dyDescent="0.25">
      <c r="B11" s="444" t="s">
        <v>2513</v>
      </c>
      <c r="C11" s="444"/>
      <c r="D11" s="444"/>
      <c r="E11" s="444"/>
      <c r="F11" s="444"/>
    </row>
    <row r="12" spans="2:6" ht="47.25" customHeight="1" x14ac:dyDescent="0.25">
      <c r="B12" s="296"/>
      <c r="C12" s="159"/>
      <c r="D12" s="297"/>
      <c r="E12" s="159"/>
      <c r="F12" s="298"/>
    </row>
    <row r="13" spans="2:6" ht="25.5" customHeight="1" x14ac:dyDescent="0.25">
      <c r="B13" s="299" t="s">
        <v>1256</v>
      </c>
      <c r="C13" s="300" t="s">
        <v>1257</v>
      </c>
      <c r="D13" s="301" t="s">
        <v>1258</v>
      </c>
      <c r="E13" s="301" t="s">
        <v>1259</v>
      </c>
      <c r="F13" s="302" t="s">
        <v>1260</v>
      </c>
    </row>
    <row r="14" spans="2:6" x14ac:dyDescent="0.25">
      <c r="B14" s="258">
        <v>43206</v>
      </c>
      <c r="C14" s="227" t="s">
        <v>1261</v>
      </c>
      <c r="D14" s="228" t="s">
        <v>1262</v>
      </c>
      <c r="E14" s="229" t="s">
        <v>1263</v>
      </c>
      <c r="F14" s="259">
        <v>25638.57</v>
      </c>
    </row>
    <row r="15" spans="2:6" x14ac:dyDescent="0.25">
      <c r="B15" s="258">
        <v>43215</v>
      </c>
      <c r="C15" s="227" t="s">
        <v>1264</v>
      </c>
      <c r="D15" s="228" t="s">
        <v>1262</v>
      </c>
      <c r="E15" s="229" t="s">
        <v>1263</v>
      </c>
      <c r="F15" s="259">
        <v>57706.17</v>
      </c>
    </row>
    <row r="16" spans="2:6" x14ac:dyDescent="0.25">
      <c r="B16" s="258">
        <v>43236</v>
      </c>
      <c r="C16" s="230" t="s">
        <v>1265</v>
      </c>
      <c r="D16" s="228" t="s">
        <v>1262</v>
      </c>
      <c r="E16" s="229" t="s">
        <v>1263</v>
      </c>
      <c r="F16" s="259">
        <v>9618.1200000000008</v>
      </c>
    </row>
    <row r="17" spans="2:6" x14ac:dyDescent="0.25">
      <c r="B17" s="258">
        <v>43333</v>
      </c>
      <c r="C17" s="230" t="s">
        <v>1266</v>
      </c>
      <c r="D17" s="228" t="s">
        <v>1262</v>
      </c>
      <c r="E17" s="229" t="s">
        <v>1263</v>
      </c>
      <c r="F17" s="259">
        <v>12291.82</v>
      </c>
    </row>
    <row r="18" spans="2:6" x14ac:dyDescent="0.25">
      <c r="B18" s="258">
        <v>43438</v>
      </c>
      <c r="C18" s="227" t="s">
        <v>1267</v>
      </c>
      <c r="D18" s="228" t="s">
        <v>1262</v>
      </c>
      <c r="E18" s="229" t="s">
        <v>1263</v>
      </c>
      <c r="F18" s="259">
        <v>102109.95</v>
      </c>
    </row>
    <row r="19" spans="2:6" x14ac:dyDescent="0.25">
      <c r="B19" s="258">
        <v>43678</v>
      </c>
      <c r="C19" s="230" t="s">
        <v>1268</v>
      </c>
      <c r="D19" s="228" t="s">
        <v>1262</v>
      </c>
      <c r="E19" s="229" t="s">
        <v>1263</v>
      </c>
      <c r="F19" s="259">
        <v>59387.51</v>
      </c>
    </row>
    <row r="20" spans="2:6" x14ac:dyDescent="0.25">
      <c r="B20" s="258">
        <v>43678</v>
      </c>
      <c r="C20" s="230" t="s">
        <v>1269</v>
      </c>
      <c r="D20" s="228" t="s">
        <v>1262</v>
      </c>
      <c r="E20" s="229" t="s">
        <v>1263</v>
      </c>
      <c r="F20" s="259">
        <v>352439.84</v>
      </c>
    </row>
    <row r="21" spans="2:6" x14ac:dyDescent="0.25">
      <c r="B21" s="258">
        <v>44057</v>
      </c>
      <c r="C21" s="227" t="s">
        <v>1270</v>
      </c>
      <c r="D21" s="228" t="s">
        <v>1271</v>
      </c>
      <c r="E21" s="229" t="s">
        <v>1263</v>
      </c>
      <c r="F21" s="259">
        <v>3600000</v>
      </c>
    </row>
    <row r="22" spans="2:6" x14ac:dyDescent="0.25">
      <c r="B22" s="258">
        <v>44596</v>
      </c>
      <c r="C22" s="231" t="s">
        <v>1272</v>
      </c>
      <c r="D22" s="228" t="s">
        <v>1273</v>
      </c>
      <c r="E22" s="229" t="s">
        <v>1274</v>
      </c>
      <c r="F22" s="259">
        <v>106500</v>
      </c>
    </row>
    <row r="23" spans="2:6" x14ac:dyDescent="0.25">
      <c r="B23" s="258">
        <v>45042</v>
      </c>
      <c r="C23" s="227" t="s">
        <v>1276</v>
      </c>
      <c r="D23" s="228" t="s">
        <v>2227</v>
      </c>
      <c r="E23" s="229" t="s">
        <v>1275</v>
      </c>
      <c r="F23" s="259">
        <v>123840</v>
      </c>
    </row>
    <row r="24" spans="2:6" x14ac:dyDescent="0.25">
      <c r="B24" s="258">
        <v>45058</v>
      </c>
      <c r="C24" s="227" t="s">
        <v>1277</v>
      </c>
      <c r="D24" s="228" t="s">
        <v>2227</v>
      </c>
      <c r="E24" s="229" t="s">
        <v>1263</v>
      </c>
      <c r="F24" s="259">
        <v>49853.52</v>
      </c>
    </row>
    <row r="25" spans="2:6" x14ac:dyDescent="0.25">
      <c r="B25" s="258">
        <v>45071</v>
      </c>
      <c r="C25" s="227" t="s">
        <v>1278</v>
      </c>
      <c r="D25" s="228" t="s">
        <v>2227</v>
      </c>
      <c r="E25" s="229" t="s">
        <v>1279</v>
      </c>
      <c r="F25" s="259">
        <v>225480</v>
      </c>
    </row>
    <row r="26" spans="2:6" x14ac:dyDescent="0.25">
      <c r="B26" s="258">
        <v>45082</v>
      </c>
      <c r="C26" s="227" t="s">
        <v>1280</v>
      </c>
      <c r="D26" s="228" t="s">
        <v>2227</v>
      </c>
      <c r="E26" s="229" t="s">
        <v>1263</v>
      </c>
      <c r="F26" s="259">
        <v>1521000</v>
      </c>
    </row>
    <row r="27" spans="2:6" x14ac:dyDescent="0.25">
      <c r="B27" s="258">
        <v>45103</v>
      </c>
      <c r="C27" s="227" t="s">
        <v>1281</v>
      </c>
      <c r="D27" s="228" t="s">
        <v>2227</v>
      </c>
      <c r="E27" s="229" t="s">
        <v>1275</v>
      </c>
      <c r="F27" s="259">
        <v>420000</v>
      </c>
    </row>
    <row r="28" spans="2:6" x14ac:dyDescent="0.25">
      <c r="B28" s="258">
        <v>45120</v>
      </c>
      <c r="C28" s="227" t="s">
        <v>1282</v>
      </c>
      <c r="D28" s="228" t="s">
        <v>2227</v>
      </c>
      <c r="E28" s="229" t="s">
        <v>1275</v>
      </c>
      <c r="F28" s="259">
        <v>132250</v>
      </c>
    </row>
    <row r="29" spans="2:6" x14ac:dyDescent="0.25">
      <c r="B29" s="258">
        <v>45125</v>
      </c>
      <c r="C29" s="227" t="s">
        <v>1283</v>
      </c>
      <c r="D29" s="228" t="s">
        <v>2227</v>
      </c>
      <c r="E29" s="229" t="s">
        <v>1263</v>
      </c>
      <c r="F29" s="259">
        <v>169200</v>
      </c>
    </row>
    <row r="30" spans="2:6" x14ac:dyDescent="0.25">
      <c r="B30" s="258">
        <v>45142</v>
      </c>
      <c r="C30" s="227" t="s">
        <v>1284</v>
      </c>
      <c r="D30" s="228" t="s">
        <v>2227</v>
      </c>
      <c r="E30" s="229" t="s">
        <v>1275</v>
      </c>
      <c r="F30" s="259">
        <v>92880</v>
      </c>
    </row>
    <row r="31" spans="2:6" x14ac:dyDescent="0.25">
      <c r="B31" s="258">
        <v>45147</v>
      </c>
      <c r="C31" s="227" t="s">
        <v>1285</v>
      </c>
      <c r="D31" s="228" t="s">
        <v>2227</v>
      </c>
      <c r="E31" s="229" t="s">
        <v>1275</v>
      </c>
      <c r="F31" s="259">
        <v>442750</v>
      </c>
    </row>
    <row r="32" spans="2:6" x14ac:dyDescent="0.25">
      <c r="B32" s="258">
        <v>45153</v>
      </c>
      <c r="C32" s="227" t="s">
        <v>1286</v>
      </c>
      <c r="D32" s="228" t="s">
        <v>2227</v>
      </c>
      <c r="E32" s="229" t="s">
        <v>1279</v>
      </c>
      <c r="F32" s="259">
        <v>27470.400000000001</v>
      </c>
    </row>
    <row r="33" spans="2:6" x14ac:dyDescent="0.25">
      <c r="B33" s="258">
        <v>45168</v>
      </c>
      <c r="C33" s="227" t="s">
        <v>1287</v>
      </c>
      <c r="D33" s="228" t="s">
        <v>2227</v>
      </c>
      <c r="E33" s="229" t="s">
        <v>1263</v>
      </c>
      <c r="F33" s="259">
        <v>30960</v>
      </c>
    </row>
    <row r="34" spans="2:6" x14ac:dyDescent="0.25">
      <c r="B34" s="258">
        <v>45177</v>
      </c>
      <c r="C34" s="227" t="s">
        <v>1288</v>
      </c>
      <c r="D34" s="228" t="s">
        <v>2227</v>
      </c>
      <c r="E34" s="229" t="s">
        <v>1263</v>
      </c>
      <c r="F34" s="259">
        <v>540000</v>
      </c>
    </row>
    <row r="35" spans="2:6" x14ac:dyDescent="0.25">
      <c r="B35" s="258">
        <v>45209</v>
      </c>
      <c r="C35" s="227" t="s">
        <v>2013</v>
      </c>
      <c r="D35" s="228" t="s">
        <v>2227</v>
      </c>
      <c r="E35" s="229" t="s">
        <v>1279</v>
      </c>
      <c r="F35" s="259">
        <v>38400</v>
      </c>
    </row>
    <row r="36" spans="2:6" x14ac:dyDescent="0.25">
      <c r="B36" s="258">
        <v>45225</v>
      </c>
      <c r="C36" s="227" t="s">
        <v>2014</v>
      </c>
      <c r="D36" s="228" t="s">
        <v>2227</v>
      </c>
      <c r="E36" s="229" t="s">
        <v>1275</v>
      </c>
      <c r="F36" s="259">
        <v>528000</v>
      </c>
    </row>
    <row r="37" spans="2:6" x14ac:dyDescent="0.25">
      <c r="B37" s="258">
        <v>45231</v>
      </c>
      <c r="C37" s="227" t="s">
        <v>2015</v>
      </c>
      <c r="D37" s="228" t="s">
        <v>2227</v>
      </c>
      <c r="E37" s="229" t="s">
        <v>1275</v>
      </c>
      <c r="F37" s="259">
        <v>136224</v>
      </c>
    </row>
    <row r="38" spans="2:6" x14ac:dyDescent="0.25">
      <c r="B38" s="258">
        <v>45243</v>
      </c>
      <c r="C38" s="227" t="s">
        <v>1473</v>
      </c>
      <c r="D38" s="228" t="s">
        <v>2227</v>
      </c>
      <c r="E38" s="229" t="s">
        <v>2016</v>
      </c>
      <c r="F38" s="259">
        <v>48000</v>
      </c>
    </row>
    <row r="39" spans="2:6" x14ac:dyDescent="0.25">
      <c r="B39" s="258">
        <v>45272</v>
      </c>
      <c r="C39" s="227" t="s">
        <v>1511</v>
      </c>
      <c r="D39" s="228" t="s">
        <v>2227</v>
      </c>
      <c r="E39" s="229" t="s">
        <v>1279</v>
      </c>
      <c r="F39" s="259">
        <v>29107.3</v>
      </c>
    </row>
    <row r="40" spans="2:6" x14ac:dyDescent="0.25">
      <c r="B40" s="258">
        <v>45146</v>
      </c>
      <c r="C40" s="227" t="s">
        <v>1295</v>
      </c>
      <c r="D40" s="228" t="s">
        <v>1296</v>
      </c>
      <c r="E40" s="229" t="s">
        <v>1297</v>
      </c>
      <c r="F40" s="259">
        <v>23156.32</v>
      </c>
    </row>
    <row r="41" spans="2:6" x14ac:dyDescent="0.25">
      <c r="B41" s="258">
        <v>45271</v>
      </c>
      <c r="C41" s="227" t="s">
        <v>2228</v>
      </c>
      <c r="D41" s="228" t="s">
        <v>2229</v>
      </c>
      <c r="E41" s="229" t="s">
        <v>1275</v>
      </c>
      <c r="F41" s="259">
        <v>18285.36</v>
      </c>
    </row>
    <row r="42" spans="2:6" x14ac:dyDescent="0.25">
      <c r="B42" s="258">
        <v>45222</v>
      </c>
      <c r="C42" s="227" t="s">
        <v>2017</v>
      </c>
      <c r="D42" s="228" t="s">
        <v>2018</v>
      </c>
      <c r="E42" s="229" t="s">
        <v>1294</v>
      </c>
      <c r="F42" s="259">
        <v>5760</v>
      </c>
    </row>
    <row r="43" spans="2:6" x14ac:dyDescent="0.25">
      <c r="B43" s="258">
        <v>45229</v>
      </c>
      <c r="C43" s="227" t="s">
        <v>2019</v>
      </c>
      <c r="D43" s="228" t="s">
        <v>2018</v>
      </c>
      <c r="E43" s="229" t="s">
        <v>1294</v>
      </c>
      <c r="F43" s="259">
        <v>3960</v>
      </c>
    </row>
    <row r="44" spans="2:6" x14ac:dyDescent="0.25">
      <c r="B44" s="258">
        <v>45233</v>
      </c>
      <c r="C44" s="227" t="s">
        <v>2020</v>
      </c>
      <c r="D44" s="228" t="s">
        <v>2018</v>
      </c>
      <c r="E44" s="229" t="s">
        <v>1294</v>
      </c>
      <c r="F44" s="259">
        <v>2025</v>
      </c>
    </row>
    <row r="45" spans="2:6" x14ac:dyDescent="0.25">
      <c r="B45" s="258">
        <v>45236</v>
      </c>
      <c r="C45" s="227" t="s">
        <v>2021</v>
      </c>
      <c r="D45" s="228" t="s">
        <v>2018</v>
      </c>
      <c r="E45" s="229" t="s">
        <v>1294</v>
      </c>
      <c r="F45" s="259">
        <v>6420</v>
      </c>
    </row>
    <row r="46" spans="2:6" x14ac:dyDescent="0.25">
      <c r="B46" s="258">
        <v>45243</v>
      </c>
      <c r="C46" s="227" t="s">
        <v>2022</v>
      </c>
      <c r="D46" s="228" t="s">
        <v>2018</v>
      </c>
      <c r="E46" s="229" t="s">
        <v>1294</v>
      </c>
      <c r="F46" s="259">
        <v>6780</v>
      </c>
    </row>
    <row r="47" spans="2:6" x14ac:dyDescent="0.25">
      <c r="B47" s="258">
        <v>45245</v>
      </c>
      <c r="C47" s="227" t="s">
        <v>2023</v>
      </c>
      <c r="D47" s="228" t="s">
        <v>2018</v>
      </c>
      <c r="E47" s="229" t="s">
        <v>1294</v>
      </c>
      <c r="F47" s="259">
        <v>2025</v>
      </c>
    </row>
    <row r="48" spans="2:6" x14ac:dyDescent="0.25">
      <c r="B48" s="258">
        <v>45250</v>
      </c>
      <c r="C48" s="227" t="s">
        <v>2024</v>
      </c>
      <c r="D48" s="228" t="s">
        <v>2018</v>
      </c>
      <c r="E48" s="229" t="s">
        <v>1294</v>
      </c>
      <c r="F48" s="259">
        <v>5160</v>
      </c>
    </row>
    <row r="49" spans="2:6" x14ac:dyDescent="0.25">
      <c r="B49" s="258">
        <v>45258</v>
      </c>
      <c r="C49" s="227" t="s">
        <v>2230</v>
      </c>
      <c r="D49" s="228" t="s">
        <v>2018</v>
      </c>
      <c r="E49" s="229" t="s">
        <v>1294</v>
      </c>
      <c r="F49" s="259">
        <v>2025</v>
      </c>
    </row>
    <row r="50" spans="2:6" x14ac:dyDescent="0.25">
      <c r="B50" s="258">
        <v>45258</v>
      </c>
      <c r="C50" s="227" t="s">
        <v>2231</v>
      </c>
      <c r="D50" s="228" t="s">
        <v>2018</v>
      </c>
      <c r="E50" s="229" t="s">
        <v>1294</v>
      </c>
      <c r="F50" s="259">
        <v>4800</v>
      </c>
    </row>
    <row r="51" spans="2:6" x14ac:dyDescent="0.25">
      <c r="B51" s="258">
        <v>45262</v>
      </c>
      <c r="C51" s="227" t="s">
        <v>2232</v>
      </c>
      <c r="D51" s="228" t="s">
        <v>2018</v>
      </c>
      <c r="E51" s="229" t="s">
        <v>1294</v>
      </c>
      <c r="F51" s="259">
        <v>5460</v>
      </c>
    </row>
    <row r="52" spans="2:6" x14ac:dyDescent="0.25">
      <c r="B52" s="258">
        <v>45271</v>
      </c>
      <c r="C52" s="227" t="s">
        <v>2233</v>
      </c>
      <c r="D52" s="228" t="s">
        <v>2018</v>
      </c>
      <c r="E52" s="229" t="s">
        <v>1294</v>
      </c>
      <c r="F52" s="259">
        <v>2025</v>
      </c>
    </row>
    <row r="53" spans="2:6" x14ac:dyDescent="0.25">
      <c r="B53" s="258">
        <v>45271</v>
      </c>
      <c r="C53" s="227" t="s">
        <v>2234</v>
      </c>
      <c r="D53" s="228" t="s">
        <v>2018</v>
      </c>
      <c r="E53" s="229" t="s">
        <v>1294</v>
      </c>
      <c r="F53" s="259">
        <v>7140</v>
      </c>
    </row>
    <row r="54" spans="2:6" x14ac:dyDescent="0.25">
      <c r="B54" s="258">
        <v>45279</v>
      </c>
      <c r="C54" s="227" t="s">
        <v>2235</v>
      </c>
      <c r="D54" s="228" t="s">
        <v>2018</v>
      </c>
      <c r="E54" s="229" t="s">
        <v>1294</v>
      </c>
      <c r="F54" s="259">
        <v>5940</v>
      </c>
    </row>
    <row r="55" spans="2:6" x14ac:dyDescent="0.25">
      <c r="B55" s="258">
        <v>45287</v>
      </c>
      <c r="C55" s="227" t="s">
        <v>2236</v>
      </c>
      <c r="D55" s="228" t="s">
        <v>2018</v>
      </c>
      <c r="E55" s="229" t="s">
        <v>1294</v>
      </c>
      <c r="F55" s="259">
        <v>5220</v>
      </c>
    </row>
    <row r="56" spans="2:6" x14ac:dyDescent="0.25">
      <c r="B56" s="258">
        <v>45293</v>
      </c>
      <c r="C56" s="227" t="s">
        <v>2459</v>
      </c>
      <c r="D56" s="228" t="s">
        <v>2018</v>
      </c>
      <c r="E56" s="229" t="s">
        <v>1294</v>
      </c>
      <c r="F56" s="259">
        <v>3120</v>
      </c>
    </row>
    <row r="57" spans="2:6" x14ac:dyDescent="0.25">
      <c r="B57" s="258">
        <v>45300</v>
      </c>
      <c r="C57" s="227" t="s">
        <v>2460</v>
      </c>
      <c r="D57" s="228" t="s">
        <v>2018</v>
      </c>
      <c r="E57" s="229" t="s">
        <v>1294</v>
      </c>
      <c r="F57" s="259">
        <v>3960</v>
      </c>
    </row>
    <row r="58" spans="2:6" x14ac:dyDescent="0.25">
      <c r="B58" s="258">
        <v>45301</v>
      </c>
      <c r="C58" s="227" t="s">
        <v>2461</v>
      </c>
      <c r="D58" s="228" t="s">
        <v>2018</v>
      </c>
      <c r="E58" s="229" t="s">
        <v>1294</v>
      </c>
      <c r="F58" s="259">
        <v>2025</v>
      </c>
    </row>
    <row r="59" spans="2:6" x14ac:dyDescent="0.25">
      <c r="B59" s="258">
        <v>45306</v>
      </c>
      <c r="C59" s="227" t="s">
        <v>2462</v>
      </c>
      <c r="D59" s="228" t="s">
        <v>2018</v>
      </c>
      <c r="E59" s="229" t="s">
        <v>1294</v>
      </c>
      <c r="F59" s="259">
        <v>4200</v>
      </c>
    </row>
    <row r="60" spans="2:6" x14ac:dyDescent="0.25">
      <c r="B60" s="258">
        <v>45313</v>
      </c>
      <c r="C60" s="227" t="s">
        <v>2463</v>
      </c>
      <c r="D60" s="228" t="s">
        <v>2018</v>
      </c>
      <c r="E60" s="229" t="s">
        <v>1294</v>
      </c>
      <c r="F60" s="259">
        <v>6960</v>
      </c>
    </row>
    <row r="61" spans="2:6" x14ac:dyDescent="0.25">
      <c r="B61" s="258">
        <v>45287</v>
      </c>
      <c r="C61" s="227" t="s">
        <v>1829</v>
      </c>
      <c r="D61" s="228" t="s">
        <v>2237</v>
      </c>
      <c r="E61" s="229" t="s">
        <v>2238</v>
      </c>
      <c r="F61" s="259">
        <v>401919.8</v>
      </c>
    </row>
    <row r="62" spans="2:6" x14ac:dyDescent="0.25">
      <c r="B62" s="258">
        <v>45296</v>
      </c>
      <c r="C62" s="227" t="s">
        <v>1777</v>
      </c>
      <c r="D62" s="228" t="s">
        <v>2237</v>
      </c>
      <c r="E62" s="229" t="s">
        <v>2238</v>
      </c>
      <c r="F62" s="259">
        <v>181053.3</v>
      </c>
    </row>
    <row r="63" spans="2:6" x14ac:dyDescent="0.25">
      <c r="B63" s="258">
        <v>45301</v>
      </c>
      <c r="C63" s="227" t="s">
        <v>1417</v>
      </c>
      <c r="D63" s="228" t="s">
        <v>2237</v>
      </c>
      <c r="E63" s="229" t="s">
        <v>2238</v>
      </c>
      <c r="F63" s="259">
        <v>46728</v>
      </c>
    </row>
    <row r="64" spans="2:6" x14ac:dyDescent="0.25">
      <c r="B64" s="258">
        <v>45302</v>
      </c>
      <c r="C64" s="227" t="s">
        <v>1372</v>
      </c>
      <c r="D64" s="228" t="s">
        <v>2237</v>
      </c>
      <c r="E64" s="229" t="s">
        <v>2238</v>
      </c>
      <c r="F64" s="259">
        <v>60008.9</v>
      </c>
    </row>
    <row r="65" spans="2:6" x14ac:dyDescent="0.25">
      <c r="B65" s="258">
        <v>45121</v>
      </c>
      <c r="C65" s="227" t="s">
        <v>1291</v>
      </c>
      <c r="D65" s="228" t="s">
        <v>1290</v>
      </c>
      <c r="E65" s="229" t="s">
        <v>1279</v>
      </c>
      <c r="F65" s="259">
        <v>46000</v>
      </c>
    </row>
    <row r="66" spans="2:6" x14ac:dyDescent="0.25">
      <c r="B66" s="258">
        <v>45121</v>
      </c>
      <c r="C66" s="227" t="s">
        <v>1292</v>
      </c>
      <c r="D66" s="228" t="s">
        <v>1290</v>
      </c>
      <c r="E66" s="229" t="s">
        <v>1279</v>
      </c>
      <c r="F66" s="259">
        <v>319200</v>
      </c>
    </row>
    <row r="67" spans="2:6" x14ac:dyDescent="0.25">
      <c r="B67" s="258">
        <v>45148</v>
      </c>
      <c r="C67" s="227" t="s">
        <v>1293</v>
      </c>
      <c r="D67" s="228" t="s">
        <v>1290</v>
      </c>
      <c r="E67" s="229" t="s">
        <v>1279</v>
      </c>
      <c r="F67" s="259">
        <v>17250</v>
      </c>
    </row>
    <row r="68" spans="2:6" x14ac:dyDescent="0.25">
      <c r="B68" s="258">
        <v>45253</v>
      </c>
      <c r="C68" s="227" t="s">
        <v>1364</v>
      </c>
      <c r="D68" s="228" t="s">
        <v>1290</v>
      </c>
      <c r="E68" s="229" t="s">
        <v>1263</v>
      </c>
      <c r="F68" s="259">
        <v>192500</v>
      </c>
    </row>
    <row r="69" spans="2:6" x14ac:dyDescent="0.25">
      <c r="B69" s="261">
        <v>44817</v>
      </c>
      <c r="C69" s="227" t="s">
        <v>1323</v>
      </c>
      <c r="D69" s="228" t="s">
        <v>1324</v>
      </c>
      <c r="E69" s="229" t="s">
        <v>1279</v>
      </c>
      <c r="F69" s="259">
        <v>75600</v>
      </c>
    </row>
    <row r="70" spans="2:6" x14ac:dyDescent="0.25">
      <c r="B70" s="261">
        <v>44909</v>
      </c>
      <c r="C70" s="227" t="s">
        <v>1326</v>
      </c>
      <c r="D70" s="228" t="s">
        <v>1324</v>
      </c>
      <c r="E70" s="229" t="s">
        <v>1279</v>
      </c>
      <c r="F70" s="259">
        <v>750089</v>
      </c>
    </row>
    <row r="71" spans="2:6" x14ac:dyDescent="0.25">
      <c r="B71" s="258">
        <v>45027</v>
      </c>
      <c r="C71" s="227" t="s">
        <v>1327</v>
      </c>
      <c r="D71" s="228" t="s">
        <v>1324</v>
      </c>
      <c r="E71" s="229" t="s">
        <v>1279</v>
      </c>
      <c r="F71" s="259">
        <v>450800</v>
      </c>
    </row>
    <row r="72" spans="2:6" x14ac:dyDescent="0.25">
      <c r="B72" s="258">
        <v>45029</v>
      </c>
      <c r="C72" s="227" t="s">
        <v>1328</v>
      </c>
      <c r="D72" s="228" t="s">
        <v>1324</v>
      </c>
      <c r="E72" s="229" t="s">
        <v>1279</v>
      </c>
      <c r="F72" s="259">
        <v>60530.5</v>
      </c>
    </row>
    <row r="73" spans="2:6" x14ac:dyDescent="0.25">
      <c r="B73" s="258">
        <v>45124</v>
      </c>
      <c r="C73" s="227" t="s">
        <v>1329</v>
      </c>
      <c r="D73" s="228" t="s">
        <v>1324</v>
      </c>
      <c r="E73" s="229" t="s">
        <v>1279</v>
      </c>
      <c r="F73" s="259">
        <v>169064</v>
      </c>
    </row>
    <row r="74" spans="2:6" x14ac:dyDescent="0.25">
      <c r="B74" s="258">
        <v>45125</v>
      </c>
      <c r="C74" s="227" t="s">
        <v>1330</v>
      </c>
      <c r="D74" s="228" t="s">
        <v>1324</v>
      </c>
      <c r="E74" s="229" t="s">
        <v>1279</v>
      </c>
      <c r="F74" s="259">
        <v>195470</v>
      </c>
    </row>
    <row r="75" spans="2:6" x14ac:dyDescent="0.25">
      <c r="B75" s="258">
        <v>45126</v>
      </c>
      <c r="C75" s="227" t="s">
        <v>1331</v>
      </c>
      <c r="D75" s="228" t="s">
        <v>1324</v>
      </c>
      <c r="E75" s="229" t="s">
        <v>1279</v>
      </c>
      <c r="F75" s="259">
        <v>21250</v>
      </c>
    </row>
    <row r="76" spans="2:6" x14ac:dyDescent="0.25">
      <c r="B76" s="258">
        <v>45204</v>
      </c>
      <c r="C76" s="227" t="s">
        <v>2025</v>
      </c>
      <c r="D76" s="228" t="s">
        <v>2026</v>
      </c>
      <c r="E76" s="229" t="s">
        <v>1279</v>
      </c>
      <c r="F76" s="259">
        <v>19200</v>
      </c>
    </row>
    <row r="77" spans="2:6" x14ac:dyDescent="0.25">
      <c r="B77" s="258">
        <v>45244</v>
      </c>
      <c r="C77" s="227" t="s">
        <v>2027</v>
      </c>
      <c r="D77" s="228" t="s">
        <v>2028</v>
      </c>
      <c r="E77" s="229" t="s">
        <v>1263</v>
      </c>
      <c r="F77" s="259">
        <v>187500</v>
      </c>
    </row>
    <row r="78" spans="2:6" x14ac:dyDescent="0.25">
      <c r="B78" s="258">
        <v>44669</v>
      </c>
      <c r="C78" s="231" t="s">
        <v>1308</v>
      </c>
      <c r="D78" s="228" t="s">
        <v>1311</v>
      </c>
      <c r="E78" s="229" t="s">
        <v>1309</v>
      </c>
      <c r="F78" s="259">
        <v>84960</v>
      </c>
    </row>
    <row r="79" spans="2:6" x14ac:dyDescent="0.25">
      <c r="B79" s="261">
        <v>44897</v>
      </c>
      <c r="C79" s="227" t="s">
        <v>1310</v>
      </c>
      <c r="D79" s="228" t="s">
        <v>1311</v>
      </c>
      <c r="E79" s="229" t="s">
        <v>1275</v>
      </c>
      <c r="F79" s="259">
        <v>142825</v>
      </c>
    </row>
    <row r="80" spans="2:6" x14ac:dyDescent="0.25">
      <c r="B80" s="261">
        <v>44902</v>
      </c>
      <c r="C80" s="227" t="s">
        <v>1312</v>
      </c>
      <c r="D80" s="228" t="s">
        <v>1311</v>
      </c>
      <c r="E80" s="229" t="s">
        <v>1313</v>
      </c>
      <c r="F80" s="259">
        <v>7074.1</v>
      </c>
    </row>
    <row r="81" spans="2:6" x14ac:dyDescent="0.25">
      <c r="B81" s="258">
        <v>45064</v>
      </c>
      <c r="C81" s="227" t="s">
        <v>1315</v>
      </c>
      <c r="D81" s="228" t="s">
        <v>1311</v>
      </c>
      <c r="E81" s="229" t="s">
        <v>1275</v>
      </c>
      <c r="F81" s="259">
        <v>16028.6</v>
      </c>
    </row>
    <row r="82" spans="2:6" x14ac:dyDescent="0.25">
      <c r="B82" s="258">
        <v>45105</v>
      </c>
      <c r="C82" s="227" t="s">
        <v>1317</v>
      </c>
      <c r="D82" s="228" t="s">
        <v>1314</v>
      </c>
      <c r="E82" s="229" t="s">
        <v>1275</v>
      </c>
      <c r="F82" s="259">
        <v>501278.4</v>
      </c>
    </row>
    <row r="83" spans="2:6" x14ac:dyDescent="0.25">
      <c r="B83" s="258">
        <v>45124</v>
      </c>
      <c r="C83" s="227" t="s">
        <v>1318</v>
      </c>
      <c r="D83" s="228" t="s">
        <v>1314</v>
      </c>
      <c r="E83" s="229" t="s">
        <v>1275</v>
      </c>
      <c r="F83" s="259">
        <v>345400</v>
      </c>
    </row>
    <row r="84" spans="2:6" x14ac:dyDescent="0.25">
      <c r="B84" s="258">
        <v>45127</v>
      </c>
      <c r="C84" s="227" t="s">
        <v>1319</v>
      </c>
      <c r="D84" s="228" t="s">
        <v>1314</v>
      </c>
      <c r="E84" s="229" t="s">
        <v>1263</v>
      </c>
      <c r="F84" s="259">
        <v>34320</v>
      </c>
    </row>
    <row r="85" spans="2:6" x14ac:dyDescent="0.25">
      <c r="B85" s="258">
        <v>45128</v>
      </c>
      <c r="C85" s="227" t="s">
        <v>1320</v>
      </c>
      <c r="D85" s="228" t="s">
        <v>1314</v>
      </c>
      <c r="E85" s="229" t="s">
        <v>1275</v>
      </c>
      <c r="F85" s="259">
        <v>42794</v>
      </c>
    </row>
    <row r="86" spans="2:6" x14ac:dyDescent="0.25">
      <c r="B86" s="258">
        <v>45132</v>
      </c>
      <c r="C86" s="227" t="s">
        <v>1321</v>
      </c>
      <c r="D86" s="228" t="s">
        <v>1314</v>
      </c>
      <c r="E86" s="229" t="s">
        <v>1279</v>
      </c>
      <c r="F86" s="259">
        <v>1880291.6</v>
      </c>
    </row>
    <row r="87" spans="2:6" x14ac:dyDescent="0.25">
      <c r="B87" s="258">
        <v>45105</v>
      </c>
      <c r="C87" s="227" t="s">
        <v>1322</v>
      </c>
      <c r="D87" s="228" t="s">
        <v>1314</v>
      </c>
      <c r="E87" s="229" t="s">
        <v>1263</v>
      </c>
      <c r="F87" s="259">
        <v>98136</v>
      </c>
    </row>
    <row r="88" spans="2:6" x14ac:dyDescent="0.25">
      <c r="B88" s="258">
        <v>45261</v>
      </c>
      <c r="C88" s="227" t="s">
        <v>2240</v>
      </c>
      <c r="D88" s="228" t="s">
        <v>1314</v>
      </c>
      <c r="E88" s="229" t="s">
        <v>1275</v>
      </c>
      <c r="F88" s="259">
        <v>76269</v>
      </c>
    </row>
    <row r="89" spans="2:6" x14ac:dyDescent="0.25">
      <c r="B89" s="258">
        <v>45280</v>
      </c>
      <c r="C89" s="227" t="s">
        <v>2241</v>
      </c>
      <c r="D89" s="228" t="s">
        <v>2239</v>
      </c>
      <c r="E89" s="229" t="s">
        <v>1279</v>
      </c>
      <c r="F89" s="259">
        <v>48335.5</v>
      </c>
    </row>
    <row r="90" spans="2:6" x14ac:dyDescent="0.25">
      <c r="B90" s="258">
        <v>45280</v>
      </c>
      <c r="C90" s="227" t="s">
        <v>2242</v>
      </c>
      <c r="D90" s="228" t="s">
        <v>2239</v>
      </c>
      <c r="E90" s="229" t="s">
        <v>1275</v>
      </c>
      <c r="F90" s="259">
        <v>636791</v>
      </c>
    </row>
    <row r="91" spans="2:6" x14ac:dyDescent="0.25">
      <c r="B91" s="258">
        <v>45294</v>
      </c>
      <c r="C91" s="227" t="s">
        <v>2464</v>
      </c>
      <c r="D91" s="228" t="s">
        <v>1314</v>
      </c>
      <c r="E91" s="229" t="s">
        <v>2465</v>
      </c>
      <c r="F91" s="259">
        <v>27435</v>
      </c>
    </row>
    <row r="92" spans="2:6" x14ac:dyDescent="0.25">
      <c r="B92" s="258">
        <v>45303</v>
      </c>
      <c r="C92" s="227" t="s">
        <v>2466</v>
      </c>
      <c r="D92" s="228" t="s">
        <v>1314</v>
      </c>
      <c r="E92" s="229" t="s">
        <v>1279</v>
      </c>
      <c r="F92" s="259">
        <v>625325.26</v>
      </c>
    </row>
    <row r="93" spans="2:6" x14ac:dyDescent="0.25">
      <c r="B93" s="258">
        <v>45317</v>
      </c>
      <c r="C93" s="227" t="s">
        <v>2467</v>
      </c>
      <c r="D93" s="228" t="s">
        <v>1314</v>
      </c>
      <c r="E93" s="229" t="s">
        <v>1275</v>
      </c>
      <c r="F93" s="259">
        <v>23910</v>
      </c>
    </row>
    <row r="94" spans="2:6" x14ac:dyDescent="0.25">
      <c r="B94" s="258">
        <v>44316</v>
      </c>
      <c r="C94" s="231" t="s">
        <v>1298</v>
      </c>
      <c r="D94" s="228" t="s">
        <v>1299</v>
      </c>
      <c r="E94" s="232" t="s">
        <v>1300</v>
      </c>
      <c r="F94" s="259">
        <v>31910</v>
      </c>
    </row>
    <row r="95" spans="2:6" x14ac:dyDescent="0.25">
      <c r="B95" s="258">
        <v>44347</v>
      </c>
      <c r="C95" s="231" t="s">
        <v>1301</v>
      </c>
      <c r="D95" s="228" t="s">
        <v>1299</v>
      </c>
      <c r="E95" s="232" t="s">
        <v>1300</v>
      </c>
      <c r="F95" s="259">
        <v>14185</v>
      </c>
    </row>
    <row r="96" spans="2:6" x14ac:dyDescent="0.25">
      <c r="B96" s="258">
        <v>44592</v>
      </c>
      <c r="C96" s="231" t="s">
        <v>1302</v>
      </c>
      <c r="D96" s="228" t="s">
        <v>1299</v>
      </c>
      <c r="E96" s="232" t="s">
        <v>1300</v>
      </c>
      <c r="F96" s="259">
        <v>70650</v>
      </c>
    </row>
    <row r="97" spans="2:6" x14ac:dyDescent="0.25">
      <c r="B97" s="258">
        <v>44620</v>
      </c>
      <c r="C97" s="231" t="s">
        <v>1303</v>
      </c>
      <c r="D97" s="228" t="s">
        <v>1299</v>
      </c>
      <c r="E97" s="232" t="s">
        <v>1300</v>
      </c>
      <c r="F97" s="259">
        <v>185520</v>
      </c>
    </row>
    <row r="98" spans="2:6" x14ac:dyDescent="0.25">
      <c r="B98" s="258">
        <v>44651</v>
      </c>
      <c r="C98" s="227" t="s">
        <v>1304</v>
      </c>
      <c r="D98" s="228" t="s">
        <v>1299</v>
      </c>
      <c r="E98" s="232" t="s">
        <v>1300</v>
      </c>
      <c r="F98" s="259">
        <v>227115</v>
      </c>
    </row>
    <row r="99" spans="2:6" x14ac:dyDescent="0.25">
      <c r="B99" s="258">
        <v>44773</v>
      </c>
      <c r="C99" s="231" t="s">
        <v>1305</v>
      </c>
      <c r="D99" s="228" t="s">
        <v>1299</v>
      </c>
      <c r="E99" s="232" t="s">
        <v>1306</v>
      </c>
      <c r="F99" s="260">
        <v>210435</v>
      </c>
    </row>
    <row r="100" spans="2:6" x14ac:dyDescent="0.25">
      <c r="B100" s="258">
        <v>45260</v>
      </c>
      <c r="C100" s="227" t="s">
        <v>2243</v>
      </c>
      <c r="D100" s="228" t="s">
        <v>1299</v>
      </c>
      <c r="E100" s="229" t="s">
        <v>1307</v>
      </c>
      <c r="F100" s="259">
        <v>169430</v>
      </c>
    </row>
    <row r="101" spans="2:6" x14ac:dyDescent="0.25">
      <c r="B101" s="258">
        <v>45091</v>
      </c>
      <c r="C101" s="227" t="s">
        <v>1332</v>
      </c>
      <c r="D101" s="228" t="s">
        <v>1333</v>
      </c>
      <c r="E101" s="229" t="s">
        <v>1334</v>
      </c>
      <c r="F101" s="259">
        <v>123404.4</v>
      </c>
    </row>
    <row r="102" spans="2:6" x14ac:dyDescent="0.25">
      <c r="B102" s="258">
        <v>45174</v>
      </c>
      <c r="C102" s="227" t="s">
        <v>1335</v>
      </c>
      <c r="D102" s="228" t="s">
        <v>1333</v>
      </c>
      <c r="E102" s="229" t="s">
        <v>1263</v>
      </c>
      <c r="F102" s="259">
        <v>1080000</v>
      </c>
    </row>
    <row r="103" spans="2:6" x14ac:dyDescent="0.25">
      <c r="B103" s="258">
        <v>45187</v>
      </c>
      <c r="C103" s="227" t="s">
        <v>1336</v>
      </c>
      <c r="D103" s="228" t="s">
        <v>1333</v>
      </c>
      <c r="E103" s="229" t="s">
        <v>1337</v>
      </c>
      <c r="F103" s="259">
        <v>127864.8</v>
      </c>
    </row>
    <row r="104" spans="2:6" x14ac:dyDescent="0.25">
      <c r="B104" s="258">
        <v>43329</v>
      </c>
      <c r="C104" s="231">
        <v>90022969</v>
      </c>
      <c r="D104" s="228" t="s">
        <v>1338</v>
      </c>
      <c r="E104" s="229" t="s">
        <v>1263</v>
      </c>
      <c r="F104" s="259">
        <v>100000</v>
      </c>
    </row>
    <row r="105" spans="2:6" x14ac:dyDescent="0.25">
      <c r="B105" s="258">
        <v>45125</v>
      </c>
      <c r="C105" s="227" t="s">
        <v>1373</v>
      </c>
      <c r="D105" s="228" t="s">
        <v>1374</v>
      </c>
      <c r="E105" s="229" t="s">
        <v>1375</v>
      </c>
      <c r="F105" s="259">
        <v>24999.48</v>
      </c>
    </row>
    <row r="106" spans="2:6" x14ac:dyDescent="0.25">
      <c r="B106" s="261">
        <v>44914</v>
      </c>
      <c r="C106" s="227" t="s">
        <v>1361</v>
      </c>
      <c r="D106" s="228" t="s">
        <v>1362</v>
      </c>
      <c r="E106" s="229" t="s">
        <v>1363</v>
      </c>
      <c r="F106" s="259">
        <v>33957.449999999997</v>
      </c>
    </row>
    <row r="107" spans="2:6" x14ac:dyDescent="0.25">
      <c r="B107" s="258">
        <v>45278</v>
      </c>
      <c r="C107" s="227" t="s">
        <v>2244</v>
      </c>
      <c r="D107" s="228" t="s">
        <v>2245</v>
      </c>
      <c r="E107" s="229" t="s">
        <v>1787</v>
      </c>
      <c r="F107" s="259">
        <v>16250.02</v>
      </c>
    </row>
    <row r="108" spans="2:6" x14ac:dyDescent="0.25">
      <c r="B108" s="258">
        <v>45078</v>
      </c>
      <c r="C108" s="227" t="s">
        <v>1372</v>
      </c>
      <c r="D108" s="228" t="s">
        <v>1371</v>
      </c>
      <c r="E108" s="229" t="s">
        <v>1263</v>
      </c>
      <c r="F108" s="259">
        <v>144000</v>
      </c>
    </row>
    <row r="109" spans="2:6" x14ac:dyDescent="0.25">
      <c r="B109" s="258">
        <v>45272</v>
      </c>
      <c r="C109" s="227" t="s">
        <v>2246</v>
      </c>
      <c r="D109" s="228" t="s">
        <v>2247</v>
      </c>
      <c r="E109" s="229" t="s">
        <v>1279</v>
      </c>
      <c r="F109" s="259">
        <v>17050.060000000001</v>
      </c>
    </row>
    <row r="110" spans="2:6" x14ac:dyDescent="0.25">
      <c r="B110" s="258">
        <v>45244</v>
      </c>
      <c r="C110" s="227" t="s">
        <v>1473</v>
      </c>
      <c r="D110" s="228" t="s">
        <v>2039</v>
      </c>
      <c r="E110" s="229" t="s">
        <v>2040</v>
      </c>
      <c r="F110" s="259">
        <v>130000</v>
      </c>
    </row>
    <row r="111" spans="2:6" x14ac:dyDescent="0.25">
      <c r="B111" s="258">
        <v>45026</v>
      </c>
      <c r="C111" s="227" t="s">
        <v>1366</v>
      </c>
      <c r="D111" s="228" t="s">
        <v>1365</v>
      </c>
      <c r="E111" s="229" t="s">
        <v>1367</v>
      </c>
      <c r="F111" s="259">
        <v>204350.04</v>
      </c>
    </row>
    <row r="112" spans="2:6" x14ac:dyDescent="0.25">
      <c r="B112" s="258">
        <v>45026</v>
      </c>
      <c r="C112" s="227" t="s">
        <v>1368</v>
      </c>
      <c r="D112" s="228" t="s">
        <v>1365</v>
      </c>
      <c r="E112" s="229" t="s">
        <v>1367</v>
      </c>
      <c r="F112" s="259">
        <v>45305.599999999999</v>
      </c>
    </row>
    <row r="113" spans="2:6" x14ac:dyDescent="0.25">
      <c r="B113" s="258">
        <v>45040</v>
      </c>
      <c r="C113" s="227" t="s">
        <v>1369</v>
      </c>
      <c r="D113" s="228" t="s">
        <v>1365</v>
      </c>
      <c r="E113" s="229" t="s">
        <v>1367</v>
      </c>
      <c r="F113" s="259">
        <v>70701.259999999995</v>
      </c>
    </row>
    <row r="114" spans="2:6" x14ac:dyDescent="0.25">
      <c r="B114" s="258">
        <v>45279</v>
      </c>
      <c r="C114" s="227" t="s">
        <v>2248</v>
      </c>
      <c r="D114" s="228" t="s">
        <v>2249</v>
      </c>
      <c r="E114" s="229" t="s">
        <v>1787</v>
      </c>
      <c r="F114" s="259">
        <v>88831.07</v>
      </c>
    </row>
    <row r="115" spans="2:6" x14ac:dyDescent="0.25">
      <c r="B115" s="258">
        <v>45281</v>
      </c>
      <c r="C115" s="227" t="s">
        <v>2250</v>
      </c>
      <c r="D115" s="228" t="s">
        <v>2249</v>
      </c>
      <c r="E115" s="229" t="s">
        <v>2251</v>
      </c>
      <c r="F115" s="259">
        <v>102949.25</v>
      </c>
    </row>
    <row r="116" spans="2:6" x14ac:dyDescent="0.25">
      <c r="B116" s="258">
        <v>45166</v>
      </c>
      <c r="C116" s="227" t="s">
        <v>1376</v>
      </c>
      <c r="D116" s="228" t="s">
        <v>1377</v>
      </c>
      <c r="E116" s="229" t="s">
        <v>1378</v>
      </c>
      <c r="F116" s="259">
        <v>151200</v>
      </c>
    </row>
    <row r="117" spans="2:6" x14ac:dyDescent="0.25">
      <c r="B117" s="258">
        <v>45266</v>
      </c>
      <c r="C117" s="227" t="s">
        <v>2252</v>
      </c>
      <c r="D117" s="228" t="s">
        <v>1377</v>
      </c>
      <c r="E117" s="229" t="s">
        <v>2253</v>
      </c>
      <c r="F117" s="259">
        <v>263710.86</v>
      </c>
    </row>
    <row r="118" spans="2:6" x14ac:dyDescent="0.25">
      <c r="B118" s="258">
        <v>45252</v>
      </c>
      <c r="C118" s="227" t="s">
        <v>1570</v>
      </c>
      <c r="D118" s="228" t="s">
        <v>2037</v>
      </c>
      <c r="E118" s="229" t="s">
        <v>2038</v>
      </c>
      <c r="F118" s="259">
        <v>369131.73</v>
      </c>
    </row>
    <row r="119" spans="2:6" x14ac:dyDescent="0.25">
      <c r="B119" s="258">
        <v>45271</v>
      </c>
      <c r="C119" s="227" t="s">
        <v>1788</v>
      </c>
      <c r="D119" s="228" t="s">
        <v>2037</v>
      </c>
      <c r="E119" s="229" t="s">
        <v>2468</v>
      </c>
      <c r="F119" s="259">
        <v>93951.6</v>
      </c>
    </row>
    <row r="120" spans="2:6" x14ac:dyDescent="0.25">
      <c r="B120" s="261">
        <v>44893</v>
      </c>
      <c r="C120" s="227" t="s">
        <v>1352</v>
      </c>
      <c r="D120" s="228" t="s">
        <v>1353</v>
      </c>
      <c r="E120" s="229" t="s">
        <v>1279</v>
      </c>
      <c r="F120" s="259">
        <v>391879.98</v>
      </c>
    </row>
    <row r="121" spans="2:6" x14ac:dyDescent="0.25">
      <c r="B121" s="258">
        <v>45002</v>
      </c>
      <c r="C121" s="227" t="s">
        <v>1354</v>
      </c>
      <c r="D121" s="228" t="s">
        <v>1353</v>
      </c>
      <c r="E121" s="229" t="s">
        <v>1279</v>
      </c>
      <c r="F121" s="259">
        <v>436700</v>
      </c>
    </row>
    <row r="122" spans="2:6" x14ac:dyDescent="0.25">
      <c r="B122" s="258">
        <v>45045</v>
      </c>
      <c r="C122" s="227" t="s">
        <v>1341</v>
      </c>
      <c r="D122" s="228" t="s">
        <v>1353</v>
      </c>
      <c r="E122" s="229" t="s">
        <v>1316</v>
      </c>
      <c r="F122" s="259">
        <v>1599400</v>
      </c>
    </row>
    <row r="123" spans="2:6" x14ac:dyDescent="0.25">
      <c r="B123" s="258">
        <v>45061</v>
      </c>
      <c r="C123" s="227" t="s">
        <v>2033</v>
      </c>
      <c r="D123" s="228" t="s">
        <v>1353</v>
      </c>
      <c r="E123" s="229" t="s">
        <v>1275</v>
      </c>
      <c r="F123" s="259">
        <v>4487850</v>
      </c>
    </row>
    <row r="124" spans="2:6" x14ac:dyDescent="0.25">
      <c r="B124" s="258">
        <v>45064</v>
      </c>
      <c r="C124" s="227" t="s">
        <v>1355</v>
      </c>
      <c r="D124" s="228" t="s">
        <v>1353</v>
      </c>
      <c r="E124" s="229" t="s">
        <v>1279</v>
      </c>
      <c r="F124" s="259">
        <v>1668100</v>
      </c>
    </row>
    <row r="125" spans="2:6" x14ac:dyDescent="0.25">
      <c r="B125" s="258">
        <v>45076</v>
      </c>
      <c r="C125" s="227" t="s">
        <v>1356</v>
      </c>
      <c r="D125" s="228" t="s">
        <v>1353</v>
      </c>
      <c r="E125" s="229" t="s">
        <v>1316</v>
      </c>
      <c r="F125" s="259">
        <v>1118900</v>
      </c>
    </row>
    <row r="126" spans="2:6" x14ac:dyDescent="0.25">
      <c r="B126" s="258">
        <v>45106</v>
      </c>
      <c r="C126" s="227" t="s">
        <v>1357</v>
      </c>
      <c r="D126" s="228" t="s">
        <v>1353</v>
      </c>
      <c r="E126" s="229" t="s">
        <v>1316</v>
      </c>
      <c r="F126" s="259">
        <v>614400</v>
      </c>
    </row>
    <row r="127" spans="2:6" x14ac:dyDescent="0.25">
      <c r="B127" s="258">
        <v>45135</v>
      </c>
      <c r="C127" s="227" t="s">
        <v>1358</v>
      </c>
      <c r="D127" s="228" t="s">
        <v>1353</v>
      </c>
      <c r="E127" s="229" t="s">
        <v>1279</v>
      </c>
      <c r="F127" s="259">
        <v>4910100</v>
      </c>
    </row>
    <row r="128" spans="2:6" x14ac:dyDescent="0.25">
      <c r="B128" s="258">
        <v>45162</v>
      </c>
      <c r="C128" s="227" t="s">
        <v>1359</v>
      </c>
      <c r="D128" s="228" t="s">
        <v>1353</v>
      </c>
      <c r="E128" s="229" t="s">
        <v>1279</v>
      </c>
      <c r="F128" s="259">
        <v>1641300</v>
      </c>
    </row>
    <row r="129" spans="2:6" x14ac:dyDescent="0.25">
      <c r="B129" s="258">
        <v>45175</v>
      </c>
      <c r="C129" s="227" t="s">
        <v>1360</v>
      </c>
      <c r="D129" s="228" t="s">
        <v>1353</v>
      </c>
      <c r="E129" s="229" t="s">
        <v>1279</v>
      </c>
      <c r="F129" s="259">
        <v>1184700</v>
      </c>
    </row>
    <row r="130" spans="2:6" x14ac:dyDescent="0.25">
      <c r="B130" s="258">
        <v>45209</v>
      </c>
      <c r="C130" s="227" t="s">
        <v>2034</v>
      </c>
      <c r="D130" s="228" t="s">
        <v>1353</v>
      </c>
      <c r="E130" s="229" t="s">
        <v>1279</v>
      </c>
      <c r="F130" s="259">
        <v>969200</v>
      </c>
    </row>
    <row r="131" spans="2:6" x14ac:dyDescent="0.25">
      <c r="B131" s="258">
        <v>45230</v>
      </c>
      <c r="C131" s="227" t="s">
        <v>2035</v>
      </c>
      <c r="D131" s="228" t="s">
        <v>1353</v>
      </c>
      <c r="E131" s="229" t="s">
        <v>1414</v>
      </c>
      <c r="F131" s="259">
        <v>600900</v>
      </c>
    </row>
    <row r="132" spans="2:6" x14ac:dyDescent="0.25">
      <c r="B132" s="258">
        <v>45245</v>
      </c>
      <c r="C132" s="227" t="s">
        <v>2036</v>
      </c>
      <c r="D132" s="228" t="s">
        <v>1353</v>
      </c>
      <c r="E132" s="229" t="s">
        <v>1279</v>
      </c>
      <c r="F132" s="259">
        <v>1071100</v>
      </c>
    </row>
    <row r="133" spans="2:6" x14ac:dyDescent="0.25">
      <c r="B133" s="258">
        <v>45259</v>
      </c>
      <c r="C133" s="227" t="s">
        <v>2254</v>
      </c>
      <c r="D133" s="228" t="s">
        <v>1353</v>
      </c>
      <c r="E133" s="229" t="s">
        <v>1279</v>
      </c>
      <c r="F133" s="259">
        <v>1790400</v>
      </c>
    </row>
    <row r="134" spans="2:6" x14ac:dyDescent="0.25">
      <c r="B134" s="258">
        <v>45278</v>
      </c>
      <c r="C134" s="227" t="s">
        <v>2255</v>
      </c>
      <c r="D134" s="228" t="s">
        <v>1353</v>
      </c>
      <c r="E134" s="229" t="s">
        <v>1316</v>
      </c>
      <c r="F134" s="259">
        <v>506100</v>
      </c>
    </row>
    <row r="135" spans="2:6" x14ac:dyDescent="0.25">
      <c r="B135" s="258">
        <v>45278</v>
      </c>
      <c r="C135" s="227" t="s">
        <v>2256</v>
      </c>
      <c r="D135" s="228" t="s">
        <v>1353</v>
      </c>
      <c r="E135" s="229" t="s">
        <v>1316</v>
      </c>
      <c r="F135" s="259">
        <v>118100</v>
      </c>
    </row>
    <row r="136" spans="2:6" x14ac:dyDescent="0.25">
      <c r="B136" s="258">
        <v>45278</v>
      </c>
      <c r="C136" s="227" t="s">
        <v>2257</v>
      </c>
      <c r="D136" s="228" t="s">
        <v>1353</v>
      </c>
      <c r="E136" s="229" t="s">
        <v>1279</v>
      </c>
      <c r="F136" s="259">
        <v>177100</v>
      </c>
    </row>
    <row r="137" spans="2:6" x14ac:dyDescent="0.25">
      <c r="B137" s="258">
        <v>45278</v>
      </c>
      <c r="C137" s="227" t="s">
        <v>2258</v>
      </c>
      <c r="D137" s="228" t="s">
        <v>1353</v>
      </c>
      <c r="E137" s="229" t="s">
        <v>1279</v>
      </c>
      <c r="F137" s="259">
        <v>223000</v>
      </c>
    </row>
    <row r="138" spans="2:6" x14ac:dyDescent="0.25">
      <c r="B138" s="258">
        <v>45278</v>
      </c>
      <c r="C138" s="227" t="s">
        <v>2259</v>
      </c>
      <c r="D138" s="228" t="s">
        <v>1353</v>
      </c>
      <c r="E138" s="229" t="s">
        <v>1316</v>
      </c>
      <c r="F138" s="259">
        <v>280000</v>
      </c>
    </row>
    <row r="139" spans="2:6" x14ac:dyDescent="0.25">
      <c r="B139" s="258">
        <v>45278</v>
      </c>
      <c r="C139" s="227" t="s">
        <v>2260</v>
      </c>
      <c r="D139" s="228" t="s">
        <v>1353</v>
      </c>
      <c r="E139" s="229" t="s">
        <v>1279</v>
      </c>
      <c r="F139" s="259">
        <v>65000</v>
      </c>
    </row>
    <row r="140" spans="2:6" x14ac:dyDescent="0.25">
      <c r="B140" s="258">
        <v>45278</v>
      </c>
      <c r="C140" s="227" t="s">
        <v>2261</v>
      </c>
      <c r="D140" s="228" t="s">
        <v>1353</v>
      </c>
      <c r="E140" s="229" t="s">
        <v>1279</v>
      </c>
      <c r="F140" s="259">
        <v>94500</v>
      </c>
    </row>
    <row r="141" spans="2:6" x14ac:dyDescent="0.25">
      <c r="B141" s="258">
        <v>45282</v>
      </c>
      <c r="C141" s="227" t="s">
        <v>2262</v>
      </c>
      <c r="D141" s="228" t="s">
        <v>2469</v>
      </c>
      <c r="E141" s="229" t="s">
        <v>1316</v>
      </c>
      <c r="F141" s="259">
        <v>246600</v>
      </c>
    </row>
    <row r="142" spans="2:6" x14ac:dyDescent="0.25">
      <c r="B142" s="258">
        <v>45299</v>
      </c>
      <c r="C142" s="227" t="s">
        <v>2470</v>
      </c>
      <c r="D142" s="228" t="s">
        <v>1353</v>
      </c>
      <c r="E142" s="229" t="s">
        <v>1279</v>
      </c>
      <c r="F142" s="259">
        <v>206600</v>
      </c>
    </row>
    <row r="143" spans="2:6" x14ac:dyDescent="0.25">
      <c r="B143" s="258">
        <v>45299</v>
      </c>
      <c r="C143" s="227" t="s">
        <v>2471</v>
      </c>
      <c r="D143" s="228" t="s">
        <v>1353</v>
      </c>
      <c r="E143" s="229" t="s">
        <v>1316</v>
      </c>
      <c r="F143" s="259">
        <v>65000</v>
      </c>
    </row>
    <row r="144" spans="2:6" x14ac:dyDescent="0.25">
      <c r="B144" s="258">
        <v>44386</v>
      </c>
      <c r="C144" s="231" t="s">
        <v>1339</v>
      </c>
      <c r="D144" s="228" t="s">
        <v>1340</v>
      </c>
      <c r="E144" s="232" t="s">
        <v>1263</v>
      </c>
      <c r="F144" s="260">
        <v>595000</v>
      </c>
    </row>
    <row r="145" spans="2:6" x14ac:dyDescent="0.25">
      <c r="B145" s="258">
        <v>44432</v>
      </c>
      <c r="C145" s="231" t="s">
        <v>1341</v>
      </c>
      <c r="D145" s="228" t="s">
        <v>1340</v>
      </c>
      <c r="E145" s="232" t="s">
        <v>1263</v>
      </c>
      <c r="F145" s="260">
        <v>975800</v>
      </c>
    </row>
    <row r="146" spans="2:6" x14ac:dyDescent="0.25">
      <c r="B146" s="258">
        <v>44579</v>
      </c>
      <c r="C146" s="227" t="s">
        <v>1342</v>
      </c>
      <c r="D146" s="228" t="s">
        <v>1340</v>
      </c>
      <c r="E146" s="229" t="s">
        <v>1263</v>
      </c>
      <c r="F146" s="259">
        <v>2891700</v>
      </c>
    </row>
    <row r="147" spans="2:6" x14ac:dyDescent="0.25">
      <c r="B147" s="258">
        <v>44631</v>
      </c>
      <c r="C147" s="231" t="s">
        <v>1343</v>
      </c>
      <c r="D147" s="228" t="s">
        <v>1340</v>
      </c>
      <c r="E147" s="229" t="s">
        <v>1263</v>
      </c>
      <c r="F147" s="259">
        <v>105000</v>
      </c>
    </row>
    <row r="148" spans="2:6" x14ac:dyDescent="0.25">
      <c r="B148" s="258">
        <v>45013</v>
      </c>
      <c r="C148" s="227" t="s">
        <v>1344</v>
      </c>
      <c r="D148" s="228" t="s">
        <v>1340</v>
      </c>
      <c r="E148" s="229" t="s">
        <v>1263</v>
      </c>
      <c r="F148" s="259">
        <v>52000</v>
      </c>
    </row>
    <row r="149" spans="2:6" x14ac:dyDescent="0.25">
      <c r="B149" s="258">
        <v>45134</v>
      </c>
      <c r="C149" s="227" t="s">
        <v>1345</v>
      </c>
      <c r="D149" s="228" t="s">
        <v>1340</v>
      </c>
      <c r="E149" s="229" t="s">
        <v>1275</v>
      </c>
      <c r="F149" s="259">
        <v>7800</v>
      </c>
    </row>
    <row r="150" spans="2:6" x14ac:dyDescent="0.25">
      <c r="B150" s="258">
        <v>45177</v>
      </c>
      <c r="C150" s="227" t="s">
        <v>1346</v>
      </c>
      <c r="D150" s="228" t="s">
        <v>1340</v>
      </c>
      <c r="E150" s="229" t="s">
        <v>1263</v>
      </c>
      <c r="F150" s="259">
        <v>510000</v>
      </c>
    </row>
    <row r="151" spans="2:6" x14ac:dyDescent="0.25">
      <c r="B151" s="258">
        <v>45183</v>
      </c>
      <c r="C151" s="227" t="s">
        <v>1347</v>
      </c>
      <c r="D151" s="228" t="s">
        <v>1340</v>
      </c>
      <c r="E151" s="229" t="s">
        <v>1348</v>
      </c>
      <c r="F151" s="259">
        <v>107800</v>
      </c>
    </row>
    <row r="152" spans="2:6" x14ac:dyDescent="0.25">
      <c r="B152" s="258">
        <v>45205</v>
      </c>
      <c r="C152" s="227" t="s">
        <v>2029</v>
      </c>
      <c r="D152" s="228" t="s">
        <v>1340</v>
      </c>
      <c r="E152" s="229" t="s">
        <v>2030</v>
      </c>
      <c r="F152" s="259">
        <v>91063.55</v>
      </c>
    </row>
    <row r="153" spans="2:6" x14ac:dyDescent="0.25">
      <c r="B153" s="258">
        <v>45244</v>
      </c>
      <c r="C153" s="227" t="s">
        <v>2031</v>
      </c>
      <c r="D153" s="228" t="s">
        <v>1340</v>
      </c>
      <c r="E153" s="229" t="s">
        <v>2032</v>
      </c>
      <c r="F153" s="259">
        <v>198000</v>
      </c>
    </row>
    <row r="154" spans="2:6" x14ac:dyDescent="0.25">
      <c r="B154" s="258">
        <v>45280</v>
      </c>
      <c r="C154" s="227" t="s">
        <v>2263</v>
      </c>
      <c r="D154" s="228" t="s">
        <v>1340</v>
      </c>
      <c r="E154" s="229" t="s">
        <v>1275</v>
      </c>
      <c r="F154" s="259">
        <v>165000</v>
      </c>
    </row>
    <row r="155" spans="2:6" x14ac:dyDescent="0.25">
      <c r="B155" s="261">
        <v>44844</v>
      </c>
      <c r="C155" s="227" t="s">
        <v>1349</v>
      </c>
      <c r="D155" s="228" t="s">
        <v>1350</v>
      </c>
      <c r="E155" s="229" t="s">
        <v>1351</v>
      </c>
      <c r="F155" s="259">
        <v>14750</v>
      </c>
    </row>
    <row r="156" spans="2:6" x14ac:dyDescent="0.25">
      <c r="B156" s="258">
        <v>45159</v>
      </c>
      <c r="C156" s="227" t="s">
        <v>1403</v>
      </c>
      <c r="D156" s="228" t="s">
        <v>1404</v>
      </c>
      <c r="E156" s="229" t="s">
        <v>1405</v>
      </c>
      <c r="F156" s="259">
        <v>38940</v>
      </c>
    </row>
    <row r="157" spans="2:6" x14ac:dyDescent="0.25">
      <c r="B157" s="258">
        <v>45226</v>
      </c>
      <c r="C157" s="227" t="s">
        <v>2045</v>
      </c>
      <c r="D157" s="228" t="s">
        <v>2046</v>
      </c>
      <c r="E157" s="229" t="s">
        <v>1840</v>
      </c>
      <c r="F157" s="259">
        <v>11500</v>
      </c>
    </row>
    <row r="158" spans="2:6" x14ac:dyDescent="0.25">
      <c r="B158" s="258">
        <v>45261</v>
      </c>
      <c r="C158" s="227" t="s">
        <v>2264</v>
      </c>
      <c r="D158" s="228" t="s">
        <v>2265</v>
      </c>
      <c r="E158" s="229" t="s">
        <v>2266</v>
      </c>
      <c r="F158" s="259">
        <v>224908</v>
      </c>
    </row>
    <row r="159" spans="2:6" x14ac:dyDescent="0.25">
      <c r="B159" s="258">
        <v>45264</v>
      </c>
      <c r="C159" s="227" t="s">
        <v>2267</v>
      </c>
      <c r="D159" s="228" t="s">
        <v>2265</v>
      </c>
      <c r="E159" s="229" t="s">
        <v>2268</v>
      </c>
      <c r="F159" s="259">
        <v>219244</v>
      </c>
    </row>
    <row r="160" spans="2:6" x14ac:dyDescent="0.25">
      <c r="B160" s="258">
        <v>45152</v>
      </c>
      <c r="C160" s="227" t="s">
        <v>1401</v>
      </c>
      <c r="D160" s="228" t="s">
        <v>1402</v>
      </c>
      <c r="E160" s="229" t="s">
        <v>1263</v>
      </c>
      <c r="F160" s="259">
        <v>293850</v>
      </c>
    </row>
    <row r="161" spans="2:6" x14ac:dyDescent="0.25">
      <c r="B161" s="258">
        <v>45222</v>
      </c>
      <c r="C161" s="227" t="s">
        <v>2043</v>
      </c>
      <c r="D161" s="228" t="s">
        <v>2044</v>
      </c>
      <c r="E161" s="229" t="s">
        <v>1279</v>
      </c>
      <c r="F161" s="259">
        <v>46800</v>
      </c>
    </row>
    <row r="162" spans="2:6" x14ac:dyDescent="0.25">
      <c r="B162" s="258">
        <v>44469</v>
      </c>
      <c r="C162" s="231" t="s">
        <v>1379</v>
      </c>
      <c r="D162" s="228" t="s">
        <v>1380</v>
      </c>
      <c r="E162" s="229" t="s">
        <v>1381</v>
      </c>
      <c r="F162" s="259">
        <v>6630</v>
      </c>
    </row>
    <row r="163" spans="2:6" x14ac:dyDescent="0.25">
      <c r="B163" s="258">
        <v>44470</v>
      </c>
      <c r="C163" s="231" t="s">
        <v>1382</v>
      </c>
      <c r="D163" s="228" t="s">
        <v>1380</v>
      </c>
      <c r="E163" s="229" t="s">
        <v>1381</v>
      </c>
      <c r="F163" s="259">
        <v>3000</v>
      </c>
    </row>
    <row r="164" spans="2:6" x14ac:dyDescent="0.25">
      <c r="B164" s="258">
        <v>44472</v>
      </c>
      <c r="C164" s="231" t="s">
        <v>1383</v>
      </c>
      <c r="D164" s="228" t="s">
        <v>1380</v>
      </c>
      <c r="E164" s="229" t="s">
        <v>1381</v>
      </c>
      <c r="F164" s="259">
        <v>3000</v>
      </c>
    </row>
    <row r="165" spans="2:6" x14ac:dyDescent="0.25">
      <c r="B165" s="258">
        <v>44474</v>
      </c>
      <c r="C165" s="231" t="s">
        <v>1384</v>
      </c>
      <c r="D165" s="228" t="s">
        <v>1380</v>
      </c>
      <c r="E165" s="229" t="s">
        <v>1381</v>
      </c>
      <c r="F165" s="259">
        <v>3000</v>
      </c>
    </row>
    <row r="166" spans="2:6" x14ac:dyDescent="0.25">
      <c r="B166" s="258">
        <v>44474</v>
      </c>
      <c r="C166" s="231" t="s">
        <v>1385</v>
      </c>
      <c r="D166" s="228" t="s">
        <v>1380</v>
      </c>
      <c r="E166" s="229" t="s">
        <v>1381</v>
      </c>
      <c r="F166" s="259">
        <v>4000</v>
      </c>
    </row>
    <row r="167" spans="2:6" x14ac:dyDescent="0.25">
      <c r="B167" s="258">
        <v>44476</v>
      </c>
      <c r="C167" s="231" t="s">
        <v>1386</v>
      </c>
      <c r="D167" s="228" t="s">
        <v>1380</v>
      </c>
      <c r="E167" s="229" t="s">
        <v>1381</v>
      </c>
      <c r="F167" s="259">
        <v>4000</v>
      </c>
    </row>
    <row r="168" spans="2:6" x14ac:dyDescent="0.25">
      <c r="B168" s="258">
        <v>44481</v>
      </c>
      <c r="C168" s="231" t="s">
        <v>1387</v>
      </c>
      <c r="D168" s="228" t="s">
        <v>1380</v>
      </c>
      <c r="E168" s="229" t="s">
        <v>1381</v>
      </c>
      <c r="F168" s="259">
        <v>3000</v>
      </c>
    </row>
    <row r="169" spans="2:6" x14ac:dyDescent="0.25">
      <c r="B169" s="258">
        <v>44482</v>
      </c>
      <c r="C169" s="231" t="s">
        <v>1388</v>
      </c>
      <c r="D169" s="228" t="s">
        <v>1380</v>
      </c>
      <c r="E169" s="229" t="s">
        <v>1381</v>
      </c>
      <c r="F169" s="259">
        <v>3000</v>
      </c>
    </row>
    <row r="170" spans="2:6" x14ac:dyDescent="0.25">
      <c r="B170" s="258">
        <v>44492</v>
      </c>
      <c r="C170" s="231" t="s">
        <v>1389</v>
      </c>
      <c r="D170" s="228" t="s">
        <v>1380</v>
      </c>
      <c r="E170" s="229" t="s">
        <v>1381</v>
      </c>
      <c r="F170" s="259">
        <v>2000</v>
      </c>
    </row>
    <row r="171" spans="2:6" x14ac:dyDescent="0.25">
      <c r="B171" s="258">
        <v>44494</v>
      </c>
      <c r="C171" s="231" t="s">
        <v>1390</v>
      </c>
      <c r="D171" s="228" t="s">
        <v>1380</v>
      </c>
      <c r="E171" s="229" t="s">
        <v>1381</v>
      </c>
      <c r="F171" s="259">
        <v>4000</v>
      </c>
    </row>
    <row r="172" spans="2:6" x14ac:dyDescent="0.25">
      <c r="B172" s="258">
        <v>44496</v>
      </c>
      <c r="C172" s="231" t="s">
        <v>1391</v>
      </c>
      <c r="D172" s="228" t="s">
        <v>1380</v>
      </c>
      <c r="E172" s="229" t="s">
        <v>1381</v>
      </c>
      <c r="F172" s="259">
        <v>2000</v>
      </c>
    </row>
    <row r="173" spans="2:6" x14ac:dyDescent="0.25">
      <c r="B173" s="258">
        <v>44498</v>
      </c>
      <c r="C173" s="231" t="s">
        <v>1281</v>
      </c>
      <c r="D173" s="228" t="s">
        <v>1380</v>
      </c>
      <c r="E173" s="229" t="s">
        <v>1381</v>
      </c>
      <c r="F173" s="259">
        <v>2000</v>
      </c>
    </row>
    <row r="174" spans="2:6" x14ac:dyDescent="0.25">
      <c r="B174" s="258">
        <v>44498</v>
      </c>
      <c r="C174" s="231" t="s">
        <v>1392</v>
      </c>
      <c r="D174" s="228" t="s">
        <v>1380</v>
      </c>
      <c r="E174" s="229" t="s">
        <v>1381</v>
      </c>
      <c r="F174" s="259">
        <v>2000</v>
      </c>
    </row>
    <row r="175" spans="2:6" x14ac:dyDescent="0.25">
      <c r="B175" s="258">
        <v>44500</v>
      </c>
      <c r="C175" s="231" t="s">
        <v>1393</v>
      </c>
      <c r="D175" s="228" t="s">
        <v>1380</v>
      </c>
      <c r="E175" s="229" t="s">
        <v>1381</v>
      </c>
      <c r="F175" s="259">
        <v>3000</v>
      </c>
    </row>
    <row r="176" spans="2:6" x14ac:dyDescent="0.25">
      <c r="B176" s="258">
        <v>44501</v>
      </c>
      <c r="C176" s="231" t="s">
        <v>1394</v>
      </c>
      <c r="D176" s="228" t="s">
        <v>1380</v>
      </c>
      <c r="E176" s="229" t="s">
        <v>1381</v>
      </c>
      <c r="F176" s="259">
        <v>4000</v>
      </c>
    </row>
    <row r="177" spans="2:6" x14ac:dyDescent="0.25">
      <c r="B177" s="258">
        <v>44502</v>
      </c>
      <c r="C177" s="231" t="s">
        <v>1395</v>
      </c>
      <c r="D177" s="228" t="s">
        <v>1380</v>
      </c>
      <c r="E177" s="229" t="s">
        <v>1381</v>
      </c>
      <c r="F177" s="259">
        <v>2000</v>
      </c>
    </row>
    <row r="178" spans="2:6" x14ac:dyDescent="0.25">
      <c r="B178" s="258">
        <v>44503</v>
      </c>
      <c r="C178" s="231" t="s">
        <v>1396</v>
      </c>
      <c r="D178" s="228" t="s">
        <v>1380</v>
      </c>
      <c r="E178" s="229" t="s">
        <v>1381</v>
      </c>
      <c r="F178" s="259">
        <v>2000</v>
      </c>
    </row>
    <row r="179" spans="2:6" x14ac:dyDescent="0.25">
      <c r="B179" s="258">
        <v>44504</v>
      </c>
      <c r="C179" s="231" t="s">
        <v>1397</v>
      </c>
      <c r="D179" s="228" t="s">
        <v>1380</v>
      </c>
      <c r="E179" s="229" t="s">
        <v>1381</v>
      </c>
      <c r="F179" s="259">
        <v>2000</v>
      </c>
    </row>
    <row r="180" spans="2:6" x14ac:dyDescent="0.25">
      <c r="B180" s="258">
        <v>44505</v>
      </c>
      <c r="C180" s="231" t="s">
        <v>1349</v>
      </c>
      <c r="D180" s="228" t="s">
        <v>1380</v>
      </c>
      <c r="E180" s="229" t="s">
        <v>1381</v>
      </c>
      <c r="F180" s="259">
        <v>3000</v>
      </c>
    </row>
    <row r="181" spans="2:6" x14ac:dyDescent="0.25">
      <c r="B181" s="258">
        <v>44506</v>
      </c>
      <c r="C181" s="231" t="s">
        <v>1398</v>
      </c>
      <c r="D181" s="228" t="s">
        <v>1380</v>
      </c>
      <c r="E181" s="229" t="s">
        <v>1381</v>
      </c>
      <c r="F181" s="259">
        <v>5000</v>
      </c>
    </row>
    <row r="182" spans="2:6" x14ac:dyDescent="0.25">
      <c r="B182" s="258">
        <v>44721</v>
      </c>
      <c r="C182" s="231" t="s">
        <v>1565</v>
      </c>
      <c r="D182" s="228" t="s">
        <v>2041</v>
      </c>
      <c r="E182" s="232" t="s">
        <v>1263</v>
      </c>
      <c r="F182" s="259">
        <v>145807.35</v>
      </c>
    </row>
    <row r="183" spans="2:6" x14ac:dyDescent="0.25">
      <c r="B183" s="258">
        <v>44999</v>
      </c>
      <c r="C183" s="227" t="s">
        <v>1566</v>
      </c>
      <c r="D183" s="228" t="s">
        <v>2269</v>
      </c>
      <c r="E183" s="229" t="s">
        <v>1275</v>
      </c>
      <c r="F183" s="259">
        <v>846834.75</v>
      </c>
    </row>
    <row r="184" spans="2:6" x14ac:dyDescent="0.25">
      <c r="B184" s="258">
        <v>45124</v>
      </c>
      <c r="C184" s="227" t="s">
        <v>1567</v>
      </c>
      <c r="D184" s="228" t="s">
        <v>2041</v>
      </c>
      <c r="E184" s="229" t="s">
        <v>1275</v>
      </c>
      <c r="F184" s="259">
        <v>1546125</v>
      </c>
    </row>
    <row r="185" spans="2:6" x14ac:dyDescent="0.25">
      <c r="B185" s="258">
        <v>45169</v>
      </c>
      <c r="C185" s="227" t="s">
        <v>1568</v>
      </c>
      <c r="D185" s="228" t="s">
        <v>2041</v>
      </c>
      <c r="E185" s="229" t="s">
        <v>1275</v>
      </c>
      <c r="F185" s="259">
        <v>185000</v>
      </c>
    </row>
    <row r="186" spans="2:6" x14ac:dyDescent="0.25">
      <c r="B186" s="258">
        <v>45209</v>
      </c>
      <c r="C186" s="227" t="s">
        <v>2042</v>
      </c>
      <c r="D186" s="228" t="s">
        <v>2041</v>
      </c>
      <c r="E186" s="229" t="s">
        <v>1279</v>
      </c>
      <c r="F186" s="259">
        <v>435276</v>
      </c>
    </row>
    <row r="187" spans="2:6" x14ac:dyDescent="0.25">
      <c r="B187" s="258">
        <v>45225</v>
      </c>
      <c r="C187" s="227" t="s">
        <v>2047</v>
      </c>
      <c r="D187" s="228" t="s">
        <v>2048</v>
      </c>
      <c r="E187" s="229" t="s">
        <v>2049</v>
      </c>
      <c r="F187" s="259">
        <v>151441.20000000001</v>
      </c>
    </row>
    <row r="188" spans="2:6" x14ac:dyDescent="0.25">
      <c r="B188" s="258">
        <v>45296</v>
      </c>
      <c r="C188" s="227" t="s">
        <v>2472</v>
      </c>
      <c r="D188" s="228" t="s">
        <v>2473</v>
      </c>
      <c r="E188" s="229" t="s">
        <v>2238</v>
      </c>
      <c r="F188" s="259">
        <v>53772.6</v>
      </c>
    </row>
    <row r="189" spans="2:6" x14ac:dyDescent="0.25">
      <c r="B189" s="261">
        <v>44153</v>
      </c>
      <c r="C189" s="231" t="s">
        <v>1412</v>
      </c>
      <c r="D189" s="228" t="s">
        <v>1413</v>
      </c>
      <c r="E189" s="229" t="s">
        <v>1414</v>
      </c>
      <c r="F189" s="259">
        <v>12032.44</v>
      </c>
    </row>
    <row r="190" spans="2:6" x14ac:dyDescent="0.25">
      <c r="B190" s="258">
        <v>44244</v>
      </c>
      <c r="C190" s="231" t="s">
        <v>1415</v>
      </c>
      <c r="D190" s="228" t="s">
        <v>1413</v>
      </c>
      <c r="E190" s="229" t="s">
        <v>1414</v>
      </c>
      <c r="F190" s="259">
        <v>244040</v>
      </c>
    </row>
    <row r="191" spans="2:6" x14ac:dyDescent="0.25">
      <c r="B191" s="258">
        <v>44244</v>
      </c>
      <c r="C191" s="231" t="s">
        <v>1416</v>
      </c>
      <c r="D191" s="228" t="s">
        <v>1413</v>
      </c>
      <c r="E191" s="229" t="s">
        <v>1414</v>
      </c>
      <c r="F191" s="259">
        <v>112868.5</v>
      </c>
    </row>
    <row r="192" spans="2:6" x14ac:dyDescent="0.25">
      <c r="B192" s="261">
        <v>44888</v>
      </c>
      <c r="C192" s="227" t="s">
        <v>1417</v>
      </c>
      <c r="D192" s="228" t="s">
        <v>1413</v>
      </c>
      <c r="E192" s="229" t="s">
        <v>1263</v>
      </c>
      <c r="F192" s="259">
        <v>305598.40000000002</v>
      </c>
    </row>
    <row r="193" spans="2:6" x14ac:dyDescent="0.25">
      <c r="B193" s="258">
        <v>45120</v>
      </c>
      <c r="C193" s="227" t="s">
        <v>1418</v>
      </c>
      <c r="D193" s="228" t="s">
        <v>1413</v>
      </c>
      <c r="E193" s="229" t="s">
        <v>1263</v>
      </c>
      <c r="F193" s="259">
        <v>171000</v>
      </c>
    </row>
    <row r="194" spans="2:6" x14ac:dyDescent="0.25">
      <c r="B194" s="258">
        <v>45210</v>
      </c>
      <c r="C194" s="227" t="s">
        <v>2050</v>
      </c>
      <c r="D194" s="228" t="s">
        <v>1413</v>
      </c>
      <c r="E194" s="229" t="s">
        <v>1279</v>
      </c>
      <c r="F194" s="259">
        <v>405920</v>
      </c>
    </row>
    <row r="195" spans="2:6" x14ac:dyDescent="0.25">
      <c r="B195" s="258">
        <v>45224</v>
      </c>
      <c r="C195" s="227" t="s">
        <v>2051</v>
      </c>
      <c r="D195" s="228" t="s">
        <v>1413</v>
      </c>
      <c r="E195" s="229" t="s">
        <v>1279</v>
      </c>
      <c r="F195" s="259">
        <v>786470</v>
      </c>
    </row>
    <row r="196" spans="2:6" x14ac:dyDescent="0.25">
      <c r="B196" s="258">
        <v>45250</v>
      </c>
      <c r="C196" s="227" t="s">
        <v>2052</v>
      </c>
      <c r="D196" s="228" t="s">
        <v>2053</v>
      </c>
      <c r="E196" s="229" t="s">
        <v>1279</v>
      </c>
      <c r="F196" s="259">
        <v>75962.5</v>
      </c>
    </row>
    <row r="197" spans="2:6" x14ac:dyDescent="0.25">
      <c r="B197" s="258">
        <v>44020</v>
      </c>
      <c r="C197" s="231" t="s">
        <v>1406</v>
      </c>
      <c r="D197" s="228" t="s">
        <v>1407</v>
      </c>
      <c r="E197" s="229" t="s">
        <v>1408</v>
      </c>
      <c r="F197" s="259">
        <v>53100</v>
      </c>
    </row>
    <row r="198" spans="2:6" x14ac:dyDescent="0.25">
      <c r="B198" s="258">
        <v>44020</v>
      </c>
      <c r="C198" s="231" t="s">
        <v>1409</v>
      </c>
      <c r="D198" s="228" t="s">
        <v>1407</v>
      </c>
      <c r="E198" s="229" t="s">
        <v>1408</v>
      </c>
      <c r="F198" s="259">
        <v>53100</v>
      </c>
    </row>
    <row r="199" spans="2:6" x14ac:dyDescent="0.25">
      <c r="B199" s="258">
        <v>44020</v>
      </c>
      <c r="C199" s="231" t="s">
        <v>1410</v>
      </c>
      <c r="D199" s="228" t="s">
        <v>1407</v>
      </c>
      <c r="E199" s="229" t="s">
        <v>1408</v>
      </c>
      <c r="F199" s="259">
        <v>59000</v>
      </c>
    </row>
    <row r="200" spans="2:6" x14ac:dyDescent="0.25">
      <c r="B200" s="258">
        <v>44020</v>
      </c>
      <c r="C200" s="231" t="s">
        <v>1411</v>
      </c>
      <c r="D200" s="228" t="s">
        <v>1407</v>
      </c>
      <c r="E200" s="229" t="s">
        <v>1408</v>
      </c>
      <c r="F200" s="259">
        <v>100300</v>
      </c>
    </row>
    <row r="201" spans="2:6" x14ac:dyDescent="0.25">
      <c r="B201" s="261">
        <v>44873</v>
      </c>
      <c r="C201" s="227" t="s">
        <v>1464</v>
      </c>
      <c r="D201" s="228" t="s">
        <v>2070</v>
      </c>
      <c r="E201" s="229" t="s">
        <v>1275</v>
      </c>
      <c r="F201" s="259">
        <v>71018</v>
      </c>
    </row>
    <row r="202" spans="2:6" x14ac:dyDescent="0.25">
      <c r="B202" s="258">
        <v>45121</v>
      </c>
      <c r="C202" s="227" t="s">
        <v>1465</v>
      </c>
      <c r="D202" s="228" t="s">
        <v>2070</v>
      </c>
      <c r="E202" s="229" t="s">
        <v>1263</v>
      </c>
      <c r="F202" s="259">
        <v>45000</v>
      </c>
    </row>
    <row r="203" spans="2:6" x14ac:dyDescent="0.25">
      <c r="B203" s="258">
        <v>45131</v>
      </c>
      <c r="C203" s="227" t="s">
        <v>1466</v>
      </c>
      <c r="D203" s="228" t="s">
        <v>2070</v>
      </c>
      <c r="E203" s="229" t="s">
        <v>1263</v>
      </c>
      <c r="F203" s="259">
        <v>214376</v>
      </c>
    </row>
    <row r="204" spans="2:6" x14ac:dyDescent="0.25">
      <c r="B204" s="258">
        <v>45203</v>
      </c>
      <c r="C204" s="227" t="s">
        <v>2071</v>
      </c>
      <c r="D204" s="228" t="s">
        <v>2070</v>
      </c>
      <c r="E204" s="229" t="s">
        <v>1275</v>
      </c>
      <c r="F204" s="259">
        <v>157110</v>
      </c>
    </row>
    <row r="205" spans="2:6" x14ac:dyDescent="0.25">
      <c r="B205" s="258">
        <v>45210</v>
      </c>
      <c r="C205" s="227" t="s">
        <v>2072</v>
      </c>
      <c r="D205" s="228" t="s">
        <v>2070</v>
      </c>
      <c r="E205" s="229" t="s">
        <v>1275</v>
      </c>
      <c r="F205" s="259">
        <v>164033.60000000001</v>
      </c>
    </row>
    <row r="206" spans="2:6" x14ac:dyDescent="0.25">
      <c r="B206" s="258">
        <v>45231</v>
      </c>
      <c r="C206" s="227" t="s">
        <v>2073</v>
      </c>
      <c r="D206" s="228" t="s">
        <v>2070</v>
      </c>
      <c r="E206" s="229" t="s">
        <v>1275</v>
      </c>
      <c r="F206" s="259">
        <v>75840</v>
      </c>
    </row>
    <row r="207" spans="2:6" x14ac:dyDescent="0.25">
      <c r="B207" s="258">
        <v>45243</v>
      </c>
      <c r="C207" s="227" t="s">
        <v>2074</v>
      </c>
      <c r="D207" s="228" t="s">
        <v>2070</v>
      </c>
      <c r="E207" s="229" t="s">
        <v>1552</v>
      </c>
      <c r="F207" s="259">
        <v>30000</v>
      </c>
    </row>
    <row r="208" spans="2:6" x14ac:dyDescent="0.25">
      <c r="B208" s="258">
        <v>45268</v>
      </c>
      <c r="C208" s="227" t="s">
        <v>2270</v>
      </c>
      <c r="D208" s="228" t="s">
        <v>2070</v>
      </c>
      <c r="E208" s="229" t="s">
        <v>1263</v>
      </c>
      <c r="F208" s="259">
        <v>7100</v>
      </c>
    </row>
    <row r="209" spans="2:6" x14ac:dyDescent="0.25">
      <c r="B209" s="258">
        <v>45276</v>
      </c>
      <c r="C209" s="227" t="s">
        <v>2271</v>
      </c>
      <c r="D209" s="228" t="s">
        <v>2070</v>
      </c>
      <c r="E209" s="229" t="s">
        <v>1275</v>
      </c>
      <c r="F209" s="259">
        <v>67500</v>
      </c>
    </row>
    <row r="210" spans="2:6" x14ac:dyDescent="0.25">
      <c r="B210" s="258">
        <v>45310</v>
      </c>
      <c r="C210" s="227" t="s">
        <v>2474</v>
      </c>
      <c r="D210" s="228" t="s">
        <v>2070</v>
      </c>
      <c r="E210" s="229" t="s">
        <v>1263</v>
      </c>
      <c r="F210" s="259">
        <v>201300</v>
      </c>
    </row>
    <row r="211" spans="2:6" x14ac:dyDescent="0.25">
      <c r="B211" s="258">
        <v>45310</v>
      </c>
      <c r="C211" s="227" t="s">
        <v>2475</v>
      </c>
      <c r="D211" s="228" t="s">
        <v>2070</v>
      </c>
      <c r="E211" s="229" t="s">
        <v>1263</v>
      </c>
      <c r="F211" s="259">
        <v>140000</v>
      </c>
    </row>
    <row r="212" spans="2:6" x14ac:dyDescent="0.25">
      <c r="B212" s="258">
        <v>45191</v>
      </c>
      <c r="C212" s="227" t="s">
        <v>1476</v>
      </c>
      <c r="D212" s="228" t="s">
        <v>1477</v>
      </c>
      <c r="E212" s="229" t="s">
        <v>1275</v>
      </c>
      <c r="F212" s="259">
        <v>177300</v>
      </c>
    </row>
    <row r="213" spans="2:6" x14ac:dyDescent="0.25">
      <c r="B213" s="258">
        <v>45189</v>
      </c>
      <c r="C213" s="227" t="s">
        <v>1468</v>
      </c>
      <c r="D213" s="228" t="s">
        <v>1467</v>
      </c>
      <c r="E213" s="229" t="s">
        <v>1279</v>
      </c>
      <c r="F213" s="259">
        <v>217710</v>
      </c>
    </row>
    <row r="214" spans="2:6" x14ac:dyDescent="0.25">
      <c r="B214" s="258">
        <v>45237</v>
      </c>
      <c r="C214" s="227" t="s">
        <v>2067</v>
      </c>
      <c r="D214" s="228" t="s">
        <v>1467</v>
      </c>
      <c r="E214" s="229" t="s">
        <v>1414</v>
      </c>
      <c r="F214" s="259">
        <v>125317.93</v>
      </c>
    </row>
    <row r="215" spans="2:6" x14ac:dyDescent="0.25">
      <c r="B215" s="258">
        <v>45257</v>
      </c>
      <c r="C215" s="227" t="s">
        <v>2068</v>
      </c>
      <c r="D215" s="228" t="s">
        <v>1467</v>
      </c>
      <c r="E215" s="229" t="s">
        <v>2069</v>
      </c>
      <c r="F215" s="259">
        <v>194000</v>
      </c>
    </row>
    <row r="216" spans="2:6" x14ac:dyDescent="0.25">
      <c r="B216" s="258">
        <v>44644</v>
      </c>
      <c r="C216" s="231" t="s">
        <v>1419</v>
      </c>
      <c r="D216" s="228" t="s">
        <v>1420</v>
      </c>
      <c r="E216" s="229" t="s">
        <v>1421</v>
      </c>
      <c r="F216" s="259">
        <v>291592.03999999998</v>
      </c>
    </row>
    <row r="217" spans="2:6" x14ac:dyDescent="0.25">
      <c r="B217" s="258">
        <v>44995</v>
      </c>
      <c r="C217" s="227" t="s">
        <v>1423</v>
      </c>
      <c r="D217" s="228" t="s">
        <v>1422</v>
      </c>
      <c r="E217" s="229" t="s">
        <v>1279</v>
      </c>
      <c r="F217" s="259">
        <v>31401</v>
      </c>
    </row>
    <row r="218" spans="2:6" x14ac:dyDescent="0.25">
      <c r="B218" s="258">
        <v>45001</v>
      </c>
      <c r="C218" s="227" t="s">
        <v>1424</v>
      </c>
      <c r="D218" s="228" t="s">
        <v>1422</v>
      </c>
      <c r="E218" s="229" t="s">
        <v>1316</v>
      </c>
      <c r="F218" s="259">
        <v>250429.4</v>
      </c>
    </row>
    <row r="219" spans="2:6" x14ac:dyDescent="0.25">
      <c r="B219" s="258">
        <v>45028</v>
      </c>
      <c r="C219" s="227" t="s">
        <v>1425</v>
      </c>
      <c r="D219" s="228" t="s">
        <v>1422</v>
      </c>
      <c r="E219" s="229" t="s">
        <v>1279</v>
      </c>
      <c r="F219" s="259">
        <v>783791.2</v>
      </c>
    </row>
    <row r="220" spans="2:6" x14ac:dyDescent="0.25">
      <c r="B220" s="258">
        <v>45035</v>
      </c>
      <c r="C220" s="227" t="s">
        <v>1426</v>
      </c>
      <c r="D220" s="228" t="s">
        <v>1422</v>
      </c>
      <c r="E220" s="229" t="s">
        <v>1279</v>
      </c>
      <c r="F220" s="259">
        <v>98754.8</v>
      </c>
    </row>
    <row r="221" spans="2:6" x14ac:dyDescent="0.25">
      <c r="B221" s="258">
        <v>45054</v>
      </c>
      <c r="C221" s="227" t="s">
        <v>1427</v>
      </c>
      <c r="D221" s="228" t="s">
        <v>1422</v>
      </c>
      <c r="E221" s="229" t="s">
        <v>1316</v>
      </c>
      <c r="F221" s="259">
        <v>98754.8</v>
      </c>
    </row>
    <row r="222" spans="2:6" x14ac:dyDescent="0.25">
      <c r="B222" s="258">
        <v>45054</v>
      </c>
      <c r="C222" s="227" t="s">
        <v>1428</v>
      </c>
      <c r="D222" s="228" t="s">
        <v>1422</v>
      </c>
      <c r="E222" s="229" t="s">
        <v>1316</v>
      </c>
      <c r="F222" s="259">
        <v>98754.8</v>
      </c>
    </row>
    <row r="223" spans="2:6" x14ac:dyDescent="0.25">
      <c r="B223" s="258">
        <v>45055</v>
      </c>
      <c r="C223" s="227" t="s">
        <v>1429</v>
      </c>
      <c r="D223" s="228" t="s">
        <v>1420</v>
      </c>
      <c r="E223" s="229" t="s">
        <v>1279</v>
      </c>
      <c r="F223" s="259">
        <v>221333.8</v>
      </c>
    </row>
    <row r="224" spans="2:6" x14ac:dyDescent="0.25">
      <c r="B224" s="258">
        <v>45061</v>
      </c>
      <c r="C224" s="227" t="s">
        <v>1430</v>
      </c>
      <c r="D224" s="228" t="s">
        <v>1422</v>
      </c>
      <c r="E224" s="229" t="s">
        <v>1431</v>
      </c>
      <c r="F224" s="259">
        <v>109499.28</v>
      </c>
    </row>
    <row r="225" spans="2:6" x14ac:dyDescent="0.25">
      <c r="B225" s="258">
        <v>45061</v>
      </c>
      <c r="C225" s="227" t="s">
        <v>1432</v>
      </c>
      <c r="D225" s="228" t="s">
        <v>1422</v>
      </c>
      <c r="E225" s="229" t="s">
        <v>1279</v>
      </c>
      <c r="F225" s="259">
        <v>98784.8</v>
      </c>
    </row>
    <row r="226" spans="2:6" x14ac:dyDescent="0.25">
      <c r="B226" s="258">
        <v>45061</v>
      </c>
      <c r="C226" s="227" t="s">
        <v>1433</v>
      </c>
      <c r="D226" s="228" t="s">
        <v>1422</v>
      </c>
      <c r="E226" s="229" t="s">
        <v>1316</v>
      </c>
      <c r="F226" s="259">
        <v>258357.45</v>
      </c>
    </row>
    <row r="227" spans="2:6" x14ac:dyDescent="0.25">
      <c r="B227" s="258">
        <v>45061</v>
      </c>
      <c r="C227" s="227" t="s">
        <v>1434</v>
      </c>
      <c r="D227" s="228" t="s">
        <v>1422</v>
      </c>
      <c r="E227" s="229" t="s">
        <v>1279</v>
      </c>
      <c r="F227" s="259">
        <v>98784.8</v>
      </c>
    </row>
    <row r="228" spans="2:6" x14ac:dyDescent="0.25">
      <c r="B228" s="258">
        <v>45062</v>
      </c>
      <c r="C228" s="227" t="s">
        <v>1435</v>
      </c>
      <c r="D228" s="228" t="s">
        <v>1422</v>
      </c>
      <c r="E228" s="229" t="s">
        <v>1279</v>
      </c>
      <c r="F228" s="259">
        <v>157679.65</v>
      </c>
    </row>
    <row r="229" spans="2:6" x14ac:dyDescent="0.25">
      <c r="B229" s="258">
        <v>45062</v>
      </c>
      <c r="C229" s="227" t="s">
        <v>1436</v>
      </c>
      <c r="D229" s="228" t="s">
        <v>1422</v>
      </c>
      <c r="E229" s="229" t="s">
        <v>1316</v>
      </c>
      <c r="F229" s="259">
        <v>122579</v>
      </c>
    </row>
    <row r="230" spans="2:6" x14ac:dyDescent="0.25">
      <c r="B230" s="258">
        <v>45063</v>
      </c>
      <c r="C230" s="227" t="s">
        <v>1437</v>
      </c>
      <c r="D230" s="228" t="s">
        <v>1422</v>
      </c>
      <c r="E230" s="229" t="s">
        <v>1275</v>
      </c>
      <c r="F230" s="259">
        <v>16266.3</v>
      </c>
    </row>
    <row r="231" spans="2:6" x14ac:dyDescent="0.25">
      <c r="B231" s="258">
        <v>45068</v>
      </c>
      <c r="C231" s="227" t="s">
        <v>1438</v>
      </c>
      <c r="D231" s="228" t="s">
        <v>1422</v>
      </c>
      <c r="E231" s="229" t="s">
        <v>1279</v>
      </c>
      <c r="F231" s="259">
        <v>157926.5</v>
      </c>
    </row>
    <row r="232" spans="2:6" x14ac:dyDescent="0.25">
      <c r="B232" s="258">
        <v>45068</v>
      </c>
      <c r="C232" s="227" t="s">
        <v>1439</v>
      </c>
      <c r="D232" s="228" t="s">
        <v>1422</v>
      </c>
      <c r="E232" s="229" t="s">
        <v>1316</v>
      </c>
      <c r="F232" s="259">
        <v>157626.5</v>
      </c>
    </row>
    <row r="233" spans="2:6" x14ac:dyDescent="0.25">
      <c r="B233" s="258">
        <v>45075</v>
      </c>
      <c r="C233" s="227" t="s">
        <v>1440</v>
      </c>
      <c r="D233" s="228" t="s">
        <v>1422</v>
      </c>
      <c r="E233" s="229" t="s">
        <v>1279</v>
      </c>
      <c r="F233" s="259">
        <v>98754.8</v>
      </c>
    </row>
    <row r="234" spans="2:6" x14ac:dyDescent="0.25">
      <c r="B234" s="258">
        <v>45075</v>
      </c>
      <c r="C234" s="227" t="s">
        <v>1441</v>
      </c>
      <c r="D234" s="228" t="s">
        <v>1422</v>
      </c>
      <c r="E234" s="229" t="s">
        <v>1279</v>
      </c>
      <c r="F234" s="259">
        <v>197430</v>
      </c>
    </row>
    <row r="235" spans="2:6" x14ac:dyDescent="0.25">
      <c r="B235" s="258">
        <v>45077</v>
      </c>
      <c r="C235" s="227" t="s">
        <v>1442</v>
      </c>
      <c r="D235" s="228" t="s">
        <v>1422</v>
      </c>
      <c r="E235" s="229" t="s">
        <v>1279</v>
      </c>
      <c r="F235" s="259">
        <v>24195</v>
      </c>
    </row>
    <row r="236" spans="2:6" x14ac:dyDescent="0.25">
      <c r="B236" s="258">
        <v>45077</v>
      </c>
      <c r="C236" s="227" t="s">
        <v>1443</v>
      </c>
      <c r="D236" s="228" t="s">
        <v>1422</v>
      </c>
      <c r="E236" s="229" t="s">
        <v>1316</v>
      </c>
      <c r="F236" s="259">
        <v>296264.40999999997</v>
      </c>
    </row>
    <row r="237" spans="2:6" x14ac:dyDescent="0.25">
      <c r="B237" s="258">
        <v>45077</v>
      </c>
      <c r="C237" s="227" t="s">
        <v>1444</v>
      </c>
      <c r="D237" s="228" t="s">
        <v>1422</v>
      </c>
      <c r="E237" s="229" t="s">
        <v>1316</v>
      </c>
      <c r="F237" s="259">
        <v>271742.95</v>
      </c>
    </row>
    <row r="238" spans="2:6" x14ac:dyDescent="0.25">
      <c r="B238" s="258">
        <v>45091</v>
      </c>
      <c r="C238" s="227" t="s">
        <v>1446</v>
      </c>
      <c r="D238" s="228" t="s">
        <v>1420</v>
      </c>
      <c r="E238" s="229" t="s">
        <v>1334</v>
      </c>
      <c r="F238" s="259">
        <v>465156</v>
      </c>
    </row>
    <row r="239" spans="2:6" x14ac:dyDescent="0.25">
      <c r="B239" s="258">
        <v>45097</v>
      </c>
      <c r="C239" s="227" t="s">
        <v>1447</v>
      </c>
      <c r="D239" s="228" t="s">
        <v>1422</v>
      </c>
      <c r="E239" s="229" t="s">
        <v>1279</v>
      </c>
      <c r="F239" s="259">
        <v>839563.22</v>
      </c>
    </row>
    <row r="240" spans="2:6" x14ac:dyDescent="0.25">
      <c r="B240" s="258">
        <v>45098</v>
      </c>
      <c r="C240" s="227" t="s">
        <v>1448</v>
      </c>
      <c r="D240" s="228" t="s">
        <v>1422</v>
      </c>
      <c r="E240" s="229" t="s">
        <v>1279</v>
      </c>
      <c r="F240" s="259">
        <v>183195</v>
      </c>
    </row>
    <row r="241" spans="2:6" x14ac:dyDescent="0.25">
      <c r="B241" s="258">
        <v>45099</v>
      </c>
      <c r="C241" s="227" t="s">
        <v>1449</v>
      </c>
      <c r="D241" s="228" t="s">
        <v>1422</v>
      </c>
      <c r="E241" s="229" t="s">
        <v>1279</v>
      </c>
      <c r="F241" s="259">
        <v>125025.01</v>
      </c>
    </row>
    <row r="242" spans="2:6" x14ac:dyDescent="0.25">
      <c r="B242" s="258">
        <v>45100</v>
      </c>
      <c r="C242" s="227" t="s">
        <v>1450</v>
      </c>
      <c r="D242" s="228" t="s">
        <v>1422</v>
      </c>
      <c r="E242" s="229" t="s">
        <v>1279</v>
      </c>
      <c r="F242" s="259">
        <v>218073.62</v>
      </c>
    </row>
    <row r="243" spans="2:6" x14ac:dyDescent="0.25">
      <c r="B243" s="258">
        <v>45090</v>
      </c>
      <c r="C243" s="227" t="s">
        <v>1451</v>
      </c>
      <c r="D243" s="228" t="s">
        <v>1422</v>
      </c>
      <c r="E243" s="229" t="s">
        <v>1279</v>
      </c>
      <c r="F243" s="259">
        <v>98754.8</v>
      </c>
    </row>
    <row r="244" spans="2:6" x14ac:dyDescent="0.25">
      <c r="B244" s="258">
        <v>45090</v>
      </c>
      <c r="C244" s="227" t="s">
        <v>1452</v>
      </c>
      <c r="D244" s="228" t="s">
        <v>1422</v>
      </c>
      <c r="E244" s="229" t="s">
        <v>1279</v>
      </c>
      <c r="F244" s="259">
        <v>39583.1</v>
      </c>
    </row>
    <row r="245" spans="2:6" x14ac:dyDescent="0.25">
      <c r="B245" s="258">
        <v>45090</v>
      </c>
      <c r="C245" s="227" t="s">
        <v>1453</v>
      </c>
      <c r="D245" s="228" t="s">
        <v>1420</v>
      </c>
      <c r="E245" s="229" t="s">
        <v>1279</v>
      </c>
      <c r="F245" s="259">
        <v>98507.95</v>
      </c>
    </row>
    <row r="246" spans="2:6" x14ac:dyDescent="0.25">
      <c r="B246" s="258">
        <v>45098</v>
      </c>
      <c r="C246" s="227" t="s">
        <v>1454</v>
      </c>
      <c r="D246" s="228" t="s">
        <v>1422</v>
      </c>
      <c r="E246" s="229" t="s">
        <v>1279</v>
      </c>
      <c r="F246" s="259">
        <v>138337.9</v>
      </c>
    </row>
    <row r="247" spans="2:6" x14ac:dyDescent="0.25">
      <c r="B247" s="258">
        <v>45098</v>
      </c>
      <c r="C247" s="227" t="s">
        <v>1455</v>
      </c>
      <c r="D247" s="228" t="s">
        <v>1422</v>
      </c>
      <c r="E247" s="229" t="s">
        <v>1279</v>
      </c>
      <c r="F247" s="259">
        <v>59171.7</v>
      </c>
    </row>
    <row r="248" spans="2:6" x14ac:dyDescent="0.25">
      <c r="B248" s="258">
        <v>45105</v>
      </c>
      <c r="C248" s="227" t="s">
        <v>1456</v>
      </c>
      <c r="D248" s="228" t="s">
        <v>1422</v>
      </c>
      <c r="E248" s="229" t="s">
        <v>1279</v>
      </c>
      <c r="F248" s="259">
        <v>98754.8</v>
      </c>
    </row>
    <row r="249" spans="2:6" x14ac:dyDescent="0.25">
      <c r="B249" s="258">
        <v>45107</v>
      </c>
      <c r="C249" s="227" t="s">
        <v>1457</v>
      </c>
      <c r="D249" s="228" t="s">
        <v>1422</v>
      </c>
      <c r="E249" s="229" t="s">
        <v>1458</v>
      </c>
      <c r="F249" s="259">
        <v>190080</v>
      </c>
    </row>
    <row r="250" spans="2:6" x14ac:dyDescent="0.25">
      <c r="B250" s="258">
        <v>45112</v>
      </c>
      <c r="C250" s="227" t="s">
        <v>1459</v>
      </c>
      <c r="D250" s="228" t="s">
        <v>1422</v>
      </c>
      <c r="E250" s="229" t="s">
        <v>1263</v>
      </c>
      <c r="F250" s="259">
        <v>17820</v>
      </c>
    </row>
    <row r="251" spans="2:6" x14ac:dyDescent="0.25">
      <c r="B251" s="258">
        <v>45131</v>
      </c>
      <c r="C251" s="227" t="s">
        <v>1460</v>
      </c>
      <c r="D251" s="228" t="s">
        <v>1422</v>
      </c>
      <c r="E251" s="229" t="s">
        <v>1263</v>
      </c>
      <c r="F251" s="259">
        <v>89100</v>
      </c>
    </row>
    <row r="252" spans="2:6" x14ac:dyDescent="0.25">
      <c r="B252" s="258">
        <v>45141</v>
      </c>
      <c r="C252" s="227" t="s">
        <v>1461</v>
      </c>
      <c r="D252" s="228" t="s">
        <v>1422</v>
      </c>
      <c r="E252" s="229" t="s">
        <v>1275</v>
      </c>
      <c r="F252" s="259">
        <v>140760</v>
      </c>
    </row>
    <row r="253" spans="2:6" x14ac:dyDescent="0.25">
      <c r="B253" s="258">
        <v>45167</v>
      </c>
      <c r="C253" s="227" t="s">
        <v>1462</v>
      </c>
      <c r="D253" s="228" t="s">
        <v>1422</v>
      </c>
      <c r="E253" s="229" t="s">
        <v>1279</v>
      </c>
      <c r="F253" s="259">
        <v>689567.74</v>
      </c>
    </row>
    <row r="254" spans="2:6" x14ac:dyDescent="0.25">
      <c r="B254" s="258">
        <v>45174</v>
      </c>
      <c r="C254" s="227" t="s">
        <v>1463</v>
      </c>
      <c r="D254" s="228" t="s">
        <v>1422</v>
      </c>
      <c r="E254" s="229" t="s">
        <v>1279</v>
      </c>
      <c r="F254" s="259">
        <v>1670526</v>
      </c>
    </row>
    <row r="255" spans="2:6" x14ac:dyDescent="0.25">
      <c r="B255" s="258">
        <v>45202</v>
      </c>
      <c r="C255" s="227" t="s">
        <v>2054</v>
      </c>
      <c r="D255" s="228" t="s">
        <v>1422</v>
      </c>
      <c r="E255" s="229" t="s">
        <v>1275</v>
      </c>
      <c r="F255" s="259">
        <v>104400</v>
      </c>
    </row>
    <row r="256" spans="2:6" x14ac:dyDescent="0.25">
      <c r="B256" s="258">
        <v>45208</v>
      </c>
      <c r="C256" s="227" t="s">
        <v>2055</v>
      </c>
      <c r="D256" s="228" t="s">
        <v>1422</v>
      </c>
      <c r="E256" s="229" t="s">
        <v>1279</v>
      </c>
      <c r="F256" s="259">
        <v>85863.3</v>
      </c>
    </row>
    <row r="257" spans="2:6" x14ac:dyDescent="0.25">
      <c r="B257" s="258">
        <v>45208</v>
      </c>
      <c r="C257" s="227" t="s">
        <v>2056</v>
      </c>
      <c r="D257" s="228" t="s">
        <v>1422</v>
      </c>
      <c r="E257" s="229" t="s">
        <v>1279</v>
      </c>
      <c r="F257" s="259">
        <v>129523.3</v>
      </c>
    </row>
    <row r="258" spans="2:6" x14ac:dyDescent="0.25">
      <c r="B258" s="258">
        <v>45208</v>
      </c>
      <c r="C258" s="227" t="s">
        <v>2057</v>
      </c>
      <c r="D258" s="228" t="s">
        <v>1422</v>
      </c>
      <c r="E258" s="229" t="s">
        <v>1275</v>
      </c>
      <c r="F258" s="259">
        <v>126504</v>
      </c>
    </row>
    <row r="259" spans="2:6" x14ac:dyDescent="0.25">
      <c r="B259" s="258">
        <v>45210</v>
      </c>
      <c r="C259" s="227" t="s">
        <v>2058</v>
      </c>
      <c r="D259" s="228" t="s">
        <v>1422</v>
      </c>
      <c r="E259" s="229" t="s">
        <v>1279</v>
      </c>
      <c r="F259" s="259">
        <v>97200</v>
      </c>
    </row>
    <row r="260" spans="2:6" x14ac:dyDescent="0.25">
      <c r="B260" s="258">
        <v>45210</v>
      </c>
      <c r="C260" s="227" t="s">
        <v>2059</v>
      </c>
      <c r="D260" s="228" t="s">
        <v>1422</v>
      </c>
      <c r="E260" s="229" t="s">
        <v>1275</v>
      </c>
      <c r="F260" s="259">
        <v>1030752</v>
      </c>
    </row>
    <row r="261" spans="2:6" x14ac:dyDescent="0.25">
      <c r="B261" s="258">
        <v>45210</v>
      </c>
      <c r="C261" s="227" t="s">
        <v>2060</v>
      </c>
      <c r="D261" s="228" t="s">
        <v>1422</v>
      </c>
      <c r="E261" s="229" t="s">
        <v>1279</v>
      </c>
      <c r="F261" s="259">
        <v>154417.81</v>
      </c>
    </row>
    <row r="262" spans="2:6" x14ac:dyDescent="0.25">
      <c r="B262" s="258">
        <v>45210</v>
      </c>
      <c r="C262" s="227" t="s">
        <v>2061</v>
      </c>
      <c r="D262" s="228" t="s">
        <v>1422</v>
      </c>
      <c r="E262" s="229" t="s">
        <v>1279</v>
      </c>
      <c r="F262" s="259">
        <v>250050.02</v>
      </c>
    </row>
    <row r="263" spans="2:6" x14ac:dyDescent="0.25">
      <c r="B263" s="258">
        <v>45218</v>
      </c>
      <c r="C263" s="227" t="s">
        <v>2062</v>
      </c>
      <c r="D263" s="228" t="s">
        <v>1422</v>
      </c>
      <c r="E263" s="229" t="s">
        <v>1279</v>
      </c>
      <c r="F263" s="259">
        <v>76545</v>
      </c>
    </row>
    <row r="264" spans="2:6" x14ac:dyDescent="0.25">
      <c r="B264" s="258">
        <v>45245</v>
      </c>
      <c r="C264" s="227" t="s">
        <v>2063</v>
      </c>
      <c r="D264" s="228" t="s">
        <v>1420</v>
      </c>
      <c r="E264" s="229" t="s">
        <v>2064</v>
      </c>
      <c r="F264" s="259">
        <v>211841.77</v>
      </c>
    </row>
    <row r="265" spans="2:6" x14ac:dyDescent="0.25">
      <c r="B265" s="258">
        <v>45245</v>
      </c>
      <c r="C265" s="227" t="s">
        <v>2065</v>
      </c>
      <c r="D265" s="228" t="s">
        <v>1422</v>
      </c>
      <c r="E265" s="229" t="s">
        <v>1279</v>
      </c>
      <c r="F265" s="259">
        <v>129523.3</v>
      </c>
    </row>
    <row r="266" spans="2:6" x14ac:dyDescent="0.25">
      <c r="B266" s="258">
        <v>45257</v>
      </c>
      <c r="C266" s="227" t="s">
        <v>2066</v>
      </c>
      <c r="D266" s="228" t="s">
        <v>1422</v>
      </c>
      <c r="E266" s="229" t="s">
        <v>1279</v>
      </c>
      <c r="F266" s="259">
        <v>275055.03000000003</v>
      </c>
    </row>
    <row r="267" spans="2:6" x14ac:dyDescent="0.25">
      <c r="B267" s="258">
        <v>45260</v>
      </c>
      <c r="C267" s="227" t="s">
        <v>2272</v>
      </c>
      <c r="D267" s="228" t="s">
        <v>1422</v>
      </c>
      <c r="E267" s="229" t="s">
        <v>1279</v>
      </c>
      <c r="F267" s="259">
        <v>129523.3</v>
      </c>
    </row>
    <row r="268" spans="2:6" x14ac:dyDescent="0.25">
      <c r="B268" s="258">
        <v>45267</v>
      </c>
      <c r="C268" s="227" t="s">
        <v>2273</v>
      </c>
      <c r="D268" s="228" t="s">
        <v>1422</v>
      </c>
      <c r="E268" s="229" t="s">
        <v>1279</v>
      </c>
      <c r="F268" s="259">
        <v>297005.23</v>
      </c>
    </row>
    <row r="269" spans="2:6" x14ac:dyDescent="0.25">
      <c r="B269" s="258">
        <v>45267</v>
      </c>
      <c r="C269" s="227" t="s">
        <v>2274</v>
      </c>
      <c r="D269" s="228" t="s">
        <v>1422</v>
      </c>
      <c r="E269" s="229" t="s">
        <v>1279</v>
      </c>
      <c r="F269" s="259">
        <v>129523.3</v>
      </c>
    </row>
    <row r="270" spans="2:6" x14ac:dyDescent="0.25">
      <c r="B270" s="258">
        <v>45276</v>
      </c>
      <c r="C270" s="227" t="s">
        <v>2275</v>
      </c>
      <c r="D270" s="228" t="s">
        <v>1422</v>
      </c>
      <c r="E270" s="229" t="s">
        <v>1316</v>
      </c>
      <c r="F270" s="259">
        <v>247866.71</v>
      </c>
    </row>
    <row r="271" spans="2:6" x14ac:dyDescent="0.25">
      <c r="B271" s="258">
        <v>45276</v>
      </c>
      <c r="C271" s="227" t="s">
        <v>2276</v>
      </c>
      <c r="D271" s="228" t="s">
        <v>1420</v>
      </c>
      <c r="E271" s="229" t="s">
        <v>1279</v>
      </c>
      <c r="F271" s="259">
        <v>207748.45</v>
      </c>
    </row>
    <row r="272" spans="2:6" x14ac:dyDescent="0.25">
      <c r="B272" s="258">
        <v>45278</v>
      </c>
      <c r="C272" s="227" t="s">
        <v>2277</v>
      </c>
      <c r="D272" s="228" t="s">
        <v>1422</v>
      </c>
      <c r="E272" s="229" t="s">
        <v>1275</v>
      </c>
      <c r="F272" s="259">
        <v>65700</v>
      </c>
    </row>
    <row r="273" spans="2:6" x14ac:dyDescent="0.25">
      <c r="B273" s="258">
        <v>45279</v>
      </c>
      <c r="C273" s="227" t="s">
        <v>2278</v>
      </c>
      <c r="D273" s="228" t="s">
        <v>1422</v>
      </c>
      <c r="E273" s="229" t="s">
        <v>1263</v>
      </c>
      <c r="F273" s="259">
        <v>269061.45</v>
      </c>
    </row>
    <row r="274" spans="2:6" x14ac:dyDescent="0.25">
      <c r="B274" s="258">
        <v>45281</v>
      </c>
      <c r="C274" s="227" t="s">
        <v>2279</v>
      </c>
      <c r="D274" s="228" t="s">
        <v>1422</v>
      </c>
      <c r="E274" s="229" t="s">
        <v>2280</v>
      </c>
      <c r="F274" s="259">
        <v>900776.34</v>
      </c>
    </row>
    <row r="275" spans="2:6" x14ac:dyDescent="0.25">
      <c r="B275" s="258">
        <v>45286</v>
      </c>
      <c r="C275" s="227" t="s">
        <v>2476</v>
      </c>
      <c r="D275" s="228" t="s">
        <v>1422</v>
      </c>
      <c r="E275" s="229" t="s">
        <v>1279</v>
      </c>
      <c r="F275" s="259">
        <v>165885.54</v>
      </c>
    </row>
    <row r="276" spans="2:6" x14ac:dyDescent="0.25">
      <c r="B276" s="258">
        <v>45301</v>
      </c>
      <c r="C276" s="227" t="s">
        <v>2477</v>
      </c>
      <c r="D276" s="228" t="s">
        <v>1422</v>
      </c>
      <c r="E276" s="229" t="s">
        <v>1279</v>
      </c>
      <c r="F276" s="259">
        <v>129523.3</v>
      </c>
    </row>
    <row r="277" spans="2:6" x14ac:dyDescent="0.25">
      <c r="B277" s="258">
        <v>45301</v>
      </c>
      <c r="C277" s="227" t="s">
        <v>2478</v>
      </c>
      <c r="D277" s="228" t="s">
        <v>1422</v>
      </c>
      <c r="E277" s="229" t="s">
        <v>1279</v>
      </c>
      <c r="F277" s="259">
        <v>188695</v>
      </c>
    </row>
    <row r="278" spans="2:6" x14ac:dyDescent="0.25">
      <c r="B278" s="258">
        <v>44970</v>
      </c>
      <c r="C278" s="227" t="s">
        <v>1469</v>
      </c>
      <c r="D278" s="228" t="s">
        <v>2075</v>
      </c>
      <c r="E278" s="229" t="s">
        <v>1279</v>
      </c>
      <c r="F278" s="259">
        <v>48144</v>
      </c>
    </row>
    <row r="279" spans="2:6" x14ac:dyDescent="0.25">
      <c r="B279" s="258">
        <v>45203</v>
      </c>
      <c r="C279" s="227" t="s">
        <v>2076</v>
      </c>
      <c r="D279" s="228" t="s">
        <v>2075</v>
      </c>
      <c r="E279" s="229" t="s">
        <v>2077</v>
      </c>
      <c r="F279" s="259">
        <v>25653.200000000001</v>
      </c>
    </row>
    <row r="280" spans="2:6" x14ac:dyDescent="0.25">
      <c r="B280" s="258">
        <v>45216</v>
      </c>
      <c r="C280" s="227" t="s">
        <v>2078</v>
      </c>
      <c r="D280" s="228" t="s">
        <v>2075</v>
      </c>
      <c r="E280" s="229" t="s">
        <v>2079</v>
      </c>
      <c r="F280" s="259">
        <v>371700</v>
      </c>
    </row>
    <row r="281" spans="2:6" x14ac:dyDescent="0.25">
      <c r="B281" s="258">
        <v>45257</v>
      </c>
      <c r="C281" s="227" t="s">
        <v>1520</v>
      </c>
      <c r="D281" s="228" t="s">
        <v>2081</v>
      </c>
      <c r="E281" s="229" t="s">
        <v>2082</v>
      </c>
      <c r="F281" s="259">
        <v>21240</v>
      </c>
    </row>
    <row r="282" spans="2:6" x14ac:dyDescent="0.25">
      <c r="B282" s="258">
        <v>45272</v>
      </c>
      <c r="C282" s="227" t="s">
        <v>1695</v>
      </c>
      <c r="D282" s="228" t="s">
        <v>2081</v>
      </c>
      <c r="E282" s="229" t="s">
        <v>2038</v>
      </c>
      <c r="F282" s="259">
        <v>12614.79</v>
      </c>
    </row>
    <row r="283" spans="2:6" x14ac:dyDescent="0.25">
      <c r="B283" s="258">
        <v>45153</v>
      </c>
      <c r="C283" s="227" t="s">
        <v>1471</v>
      </c>
      <c r="D283" s="228" t="s">
        <v>1472</v>
      </c>
      <c r="E283" s="229" t="s">
        <v>1263</v>
      </c>
      <c r="F283" s="259">
        <v>1078929.6000000001</v>
      </c>
    </row>
    <row r="284" spans="2:6" x14ac:dyDescent="0.25">
      <c r="B284" s="258">
        <v>45181</v>
      </c>
      <c r="C284" s="227" t="s">
        <v>1474</v>
      </c>
      <c r="D284" s="228" t="s">
        <v>1475</v>
      </c>
      <c r="E284" s="229" t="s">
        <v>1275</v>
      </c>
      <c r="F284" s="259">
        <v>225500</v>
      </c>
    </row>
    <row r="285" spans="2:6" x14ac:dyDescent="0.25">
      <c r="B285" s="258">
        <v>45204</v>
      </c>
      <c r="C285" s="227" t="s">
        <v>2080</v>
      </c>
      <c r="D285" s="228" t="s">
        <v>1470</v>
      </c>
      <c r="E285" s="229" t="s">
        <v>1275</v>
      </c>
      <c r="F285" s="259">
        <v>138000</v>
      </c>
    </row>
    <row r="286" spans="2:6" x14ac:dyDescent="0.25">
      <c r="B286" s="258">
        <v>45274</v>
      </c>
      <c r="C286" s="227" t="s">
        <v>2281</v>
      </c>
      <c r="D286" s="228" t="s">
        <v>1470</v>
      </c>
      <c r="E286" s="229" t="s">
        <v>1275</v>
      </c>
      <c r="F286" s="259">
        <v>414000</v>
      </c>
    </row>
    <row r="287" spans="2:6" x14ac:dyDescent="0.25">
      <c r="B287" s="258">
        <v>45309</v>
      </c>
      <c r="C287" s="227" t="s">
        <v>2479</v>
      </c>
      <c r="D287" s="228" t="s">
        <v>1470</v>
      </c>
      <c r="E287" s="229" t="s">
        <v>1275</v>
      </c>
      <c r="F287" s="259">
        <v>28000</v>
      </c>
    </row>
    <row r="288" spans="2:6" x14ac:dyDescent="0.25">
      <c r="B288" s="258">
        <v>44617</v>
      </c>
      <c r="C288" s="231" t="s">
        <v>1484</v>
      </c>
      <c r="D288" s="228" t="s">
        <v>1485</v>
      </c>
      <c r="E288" s="229" t="s">
        <v>1486</v>
      </c>
      <c r="F288" s="259">
        <v>200600</v>
      </c>
    </row>
    <row r="289" spans="2:6" x14ac:dyDescent="0.25">
      <c r="B289" s="258">
        <v>45239</v>
      </c>
      <c r="C289" s="227" t="s">
        <v>2083</v>
      </c>
      <c r="D289" s="228" t="s">
        <v>1487</v>
      </c>
      <c r="E289" s="229" t="s">
        <v>1275</v>
      </c>
      <c r="F289" s="259">
        <v>21000</v>
      </c>
    </row>
    <row r="290" spans="2:6" x14ac:dyDescent="0.25">
      <c r="B290" s="258">
        <v>45056</v>
      </c>
      <c r="C290" s="227" t="s">
        <v>1488</v>
      </c>
      <c r="D290" s="228" t="s">
        <v>1489</v>
      </c>
      <c r="E290" s="229" t="s">
        <v>1490</v>
      </c>
      <c r="F290" s="259">
        <v>65844</v>
      </c>
    </row>
    <row r="291" spans="2:6" x14ac:dyDescent="0.25">
      <c r="B291" s="258">
        <v>45251</v>
      </c>
      <c r="C291" s="227" t="s">
        <v>2084</v>
      </c>
      <c r="D291" s="228" t="s">
        <v>2085</v>
      </c>
      <c r="E291" s="229" t="s">
        <v>2086</v>
      </c>
      <c r="F291" s="259">
        <v>42500.65</v>
      </c>
    </row>
    <row r="292" spans="2:6" x14ac:dyDescent="0.25">
      <c r="B292" s="258">
        <v>43791</v>
      </c>
      <c r="C292" s="231" t="s">
        <v>1478</v>
      </c>
      <c r="D292" s="228" t="s">
        <v>1479</v>
      </c>
      <c r="E292" s="229" t="s">
        <v>1480</v>
      </c>
      <c r="F292" s="259">
        <v>99586.14</v>
      </c>
    </row>
    <row r="293" spans="2:6" x14ac:dyDescent="0.25">
      <c r="B293" s="258">
        <v>44678</v>
      </c>
      <c r="C293" s="231" t="s">
        <v>1481</v>
      </c>
      <c r="D293" s="228" t="s">
        <v>1479</v>
      </c>
      <c r="E293" s="229" t="s">
        <v>1482</v>
      </c>
      <c r="F293" s="259">
        <v>29205</v>
      </c>
    </row>
    <row r="294" spans="2:6" x14ac:dyDescent="0.25">
      <c r="B294" s="261">
        <v>44858</v>
      </c>
      <c r="C294" s="227" t="s">
        <v>1483</v>
      </c>
      <c r="D294" s="228" t="s">
        <v>1479</v>
      </c>
      <c r="E294" s="229" t="s">
        <v>1375</v>
      </c>
      <c r="F294" s="259">
        <v>41949</v>
      </c>
    </row>
    <row r="295" spans="2:6" x14ac:dyDescent="0.25">
      <c r="B295" s="258">
        <v>45246</v>
      </c>
      <c r="C295" s="227" t="s">
        <v>2089</v>
      </c>
      <c r="D295" s="228" t="s">
        <v>1509</v>
      </c>
      <c r="E295" s="229" t="s">
        <v>2016</v>
      </c>
      <c r="F295" s="259">
        <v>128095.3</v>
      </c>
    </row>
    <row r="296" spans="2:6" x14ac:dyDescent="0.25">
      <c r="B296" s="261">
        <v>44890</v>
      </c>
      <c r="C296" s="227" t="s">
        <v>1506</v>
      </c>
      <c r="D296" s="228" t="s">
        <v>1507</v>
      </c>
      <c r="E296" s="229" t="s">
        <v>1279</v>
      </c>
      <c r="F296" s="259">
        <v>6858.16</v>
      </c>
    </row>
    <row r="297" spans="2:6" x14ac:dyDescent="0.25">
      <c r="B297" s="258">
        <v>45175</v>
      </c>
      <c r="C297" s="227" t="s">
        <v>1508</v>
      </c>
      <c r="D297" s="228" t="s">
        <v>1507</v>
      </c>
      <c r="E297" s="229" t="s">
        <v>1279</v>
      </c>
      <c r="F297" s="259">
        <v>214157.02</v>
      </c>
    </row>
    <row r="298" spans="2:6" x14ac:dyDescent="0.25">
      <c r="B298" s="258">
        <v>45286</v>
      </c>
      <c r="C298" s="227" t="s">
        <v>2282</v>
      </c>
      <c r="D298" s="228" t="s">
        <v>1507</v>
      </c>
      <c r="E298" s="229" t="s">
        <v>1275</v>
      </c>
      <c r="F298" s="259">
        <v>357000</v>
      </c>
    </row>
    <row r="299" spans="2:6" x14ac:dyDescent="0.25">
      <c r="B299" s="258">
        <v>44475</v>
      </c>
      <c r="C299" s="231" t="s">
        <v>1491</v>
      </c>
      <c r="D299" s="228" t="s">
        <v>1492</v>
      </c>
      <c r="E299" s="229" t="s">
        <v>1421</v>
      </c>
      <c r="F299" s="259">
        <v>341691.56</v>
      </c>
    </row>
    <row r="300" spans="2:6" x14ac:dyDescent="0.25">
      <c r="B300" s="258">
        <v>44490</v>
      </c>
      <c r="C300" s="231" t="s">
        <v>1493</v>
      </c>
      <c r="D300" s="228" t="s">
        <v>1492</v>
      </c>
      <c r="E300" s="229" t="s">
        <v>1421</v>
      </c>
      <c r="F300" s="259">
        <v>500000</v>
      </c>
    </row>
    <row r="301" spans="2:6" x14ac:dyDescent="0.25">
      <c r="B301" s="258">
        <v>44517</v>
      </c>
      <c r="C301" s="231" t="s">
        <v>1494</v>
      </c>
      <c r="D301" s="228" t="s">
        <v>1492</v>
      </c>
      <c r="E301" s="229" t="s">
        <v>1421</v>
      </c>
      <c r="F301" s="259">
        <v>21183.84</v>
      </c>
    </row>
    <row r="302" spans="2:6" x14ac:dyDescent="0.25">
      <c r="B302" s="258">
        <v>44606</v>
      </c>
      <c r="C302" s="231" t="s">
        <v>1495</v>
      </c>
      <c r="D302" s="228" t="s">
        <v>1492</v>
      </c>
      <c r="E302" s="229" t="s">
        <v>1421</v>
      </c>
      <c r="F302" s="259">
        <v>47303.41</v>
      </c>
    </row>
    <row r="303" spans="2:6" x14ac:dyDescent="0.25">
      <c r="B303" s="258">
        <v>44698</v>
      </c>
      <c r="C303" s="231" t="s">
        <v>1491</v>
      </c>
      <c r="D303" s="228" t="s">
        <v>1492</v>
      </c>
      <c r="E303" s="229" t="s">
        <v>1421</v>
      </c>
      <c r="F303" s="259">
        <v>98400</v>
      </c>
    </row>
    <row r="304" spans="2:6" x14ac:dyDescent="0.25">
      <c r="B304" s="261">
        <v>44816</v>
      </c>
      <c r="C304" s="227" t="s">
        <v>1496</v>
      </c>
      <c r="D304" s="228" t="s">
        <v>1492</v>
      </c>
      <c r="E304" s="229" t="s">
        <v>1279</v>
      </c>
      <c r="F304" s="259">
        <v>53100</v>
      </c>
    </row>
    <row r="305" spans="2:6" x14ac:dyDescent="0.25">
      <c r="B305" s="258">
        <v>44958</v>
      </c>
      <c r="C305" s="227" t="s">
        <v>1497</v>
      </c>
      <c r="D305" s="228" t="s">
        <v>1492</v>
      </c>
      <c r="E305" s="229" t="s">
        <v>1498</v>
      </c>
      <c r="F305" s="259">
        <v>133340</v>
      </c>
    </row>
    <row r="306" spans="2:6" x14ac:dyDescent="0.25">
      <c r="B306" s="258">
        <v>45028</v>
      </c>
      <c r="C306" s="227" t="s">
        <v>1499</v>
      </c>
      <c r="D306" s="228" t="s">
        <v>1492</v>
      </c>
      <c r="E306" s="229" t="s">
        <v>1279</v>
      </c>
      <c r="F306" s="259">
        <v>816534.28</v>
      </c>
    </row>
    <row r="307" spans="2:6" x14ac:dyDescent="0.25">
      <c r="B307" s="258">
        <v>45083</v>
      </c>
      <c r="C307" s="227" t="s">
        <v>1500</v>
      </c>
      <c r="D307" s="228" t="s">
        <v>1492</v>
      </c>
      <c r="E307" s="229" t="s">
        <v>1263</v>
      </c>
      <c r="F307" s="259">
        <v>75000</v>
      </c>
    </row>
    <row r="308" spans="2:6" x14ac:dyDescent="0.25">
      <c r="B308" s="258">
        <v>45086</v>
      </c>
      <c r="C308" s="227" t="s">
        <v>1501</v>
      </c>
      <c r="D308" s="228" t="s">
        <v>1492</v>
      </c>
      <c r="E308" s="229" t="s">
        <v>1275</v>
      </c>
      <c r="F308" s="259">
        <v>36619.199999999997</v>
      </c>
    </row>
    <row r="309" spans="2:6" x14ac:dyDescent="0.25">
      <c r="B309" s="258">
        <v>45111</v>
      </c>
      <c r="C309" s="227" t="s">
        <v>1502</v>
      </c>
      <c r="D309" s="228" t="s">
        <v>1492</v>
      </c>
      <c r="E309" s="229" t="s">
        <v>1263</v>
      </c>
      <c r="F309" s="259">
        <v>192000</v>
      </c>
    </row>
    <row r="310" spans="2:6" x14ac:dyDescent="0.25">
      <c r="B310" s="258">
        <v>45119</v>
      </c>
      <c r="C310" s="227" t="s">
        <v>1503</v>
      </c>
      <c r="D310" s="228" t="s">
        <v>1492</v>
      </c>
      <c r="E310" s="229" t="s">
        <v>1263</v>
      </c>
      <c r="F310" s="259">
        <v>8000</v>
      </c>
    </row>
    <row r="311" spans="2:6" x14ac:dyDescent="0.25">
      <c r="B311" s="258">
        <v>45125</v>
      </c>
      <c r="C311" s="227" t="s">
        <v>1504</v>
      </c>
      <c r="D311" s="228" t="s">
        <v>1492</v>
      </c>
      <c r="E311" s="229" t="s">
        <v>1263</v>
      </c>
      <c r="F311" s="259">
        <v>105000</v>
      </c>
    </row>
    <row r="312" spans="2:6" x14ac:dyDescent="0.25">
      <c r="B312" s="258">
        <v>45131</v>
      </c>
      <c r="C312" s="227" t="s">
        <v>1505</v>
      </c>
      <c r="D312" s="228" t="s">
        <v>1492</v>
      </c>
      <c r="E312" s="229" t="s">
        <v>1263</v>
      </c>
      <c r="F312" s="259">
        <v>136000</v>
      </c>
    </row>
    <row r="313" spans="2:6" x14ac:dyDescent="0.25">
      <c r="B313" s="258">
        <v>45210</v>
      </c>
      <c r="C313" s="227" t="s">
        <v>2087</v>
      </c>
      <c r="D313" s="228" t="s">
        <v>2088</v>
      </c>
      <c r="E313" s="229" t="s">
        <v>1275</v>
      </c>
      <c r="F313" s="259">
        <v>139322.70000000001</v>
      </c>
    </row>
    <row r="314" spans="2:6" x14ac:dyDescent="0.25">
      <c r="B314" s="258">
        <v>44963</v>
      </c>
      <c r="C314" s="227" t="s">
        <v>1286</v>
      </c>
      <c r="D314" s="228" t="s">
        <v>1510</v>
      </c>
      <c r="E314" s="229" t="s">
        <v>1279</v>
      </c>
      <c r="F314" s="259">
        <v>6136</v>
      </c>
    </row>
    <row r="315" spans="2:6" x14ac:dyDescent="0.25">
      <c r="B315" s="258">
        <v>45247</v>
      </c>
      <c r="C315" s="227" t="s">
        <v>2090</v>
      </c>
      <c r="D315" s="228" t="s">
        <v>1510</v>
      </c>
      <c r="E315" s="229" t="s">
        <v>1263</v>
      </c>
      <c r="F315" s="259">
        <v>31000</v>
      </c>
    </row>
    <row r="316" spans="2:6" x14ac:dyDescent="0.25">
      <c r="B316" s="258">
        <v>45103</v>
      </c>
      <c r="C316" s="227" t="s">
        <v>1512</v>
      </c>
      <c r="D316" s="228" t="s">
        <v>2091</v>
      </c>
      <c r="E316" s="229" t="s">
        <v>1275</v>
      </c>
      <c r="F316" s="259">
        <v>130150</v>
      </c>
    </row>
    <row r="317" spans="2:6" x14ac:dyDescent="0.25">
      <c r="B317" s="258">
        <v>45107</v>
      </c>
      <c r="C317" s="227" t="s">
        <v>2092</v>
      </c>
      <c r="D317" s="228" t="s">
        <v>2283</v>
      </c>
      <c r="E317" s="229" t="s">
        <v>1279</v>
      </c>
      <c r="F317" s="259">
        <v>5646953.7200000007</v>
      </c>
    </row>
    <row r="318" spans="2:6" x14ac:dyDescent="0.25">
      <c r="B318" s="258">
        <v>45118</v>
      </c>
      <c r="C318" s="227" t="s">
        <v>2093</v>
      </c>
      <c r="D318" s="228" t="s">
        <v>2091</v>
      </c>
      <c r="E318" s="229" t="s">
        <v>1279</v>
      </c>
      <c r="F318" s="259">
        <v>9747015.9399999995</v>
      </c>
    </row>
    <row r="319" spans="2:6" x14ac:dyDescent="0.25">
      <c r="B319" s="258">
        <v>45135</v>
      </c>
      <c r="C319" s="227" t="s">
        <v>1513</v>
      </c>
      <c r="D319" s="228" t="s">
        <v>2091</v>
      </c>
      <c r="E319" s="229" t="s">
        <v>1279</v>
      </c>
      <c r="F319" s="259">
        <v>8879773.0999999996</v>
      </c>
    </row>
    <row r="320" spans="2:6" x14ac:dyDescent="0.25">
      <c r="B320" s="258">
        <v>45168</v>
      </c>
      <c r="C320" s="227" t="s">
        <v>1514</v>
      </c>
      <c r="D320" s="228" t="s">
        <v>2091</v>
      </c>
      <c r="E320" s="229" t="s">
        <v>1263</v>
      </c>
      <c r="F320" s="259">
        <v>234175</v>
      </c>
    </row>
    <row r="321" spans="2:6" x14ac:dyDescent="0.25">
      <c r="B321" s="258">
        <v>45176</v>
      </c>
      <c r="C321" s="227" t="s">
        <v>1515</v>
      </c>
      <c r="D321" s="228" t="s">
        <v>2091</v>
      </c>
      <c r="E321" s="229" t="s">
        <v>1275</v>
      </c>
      <c r="F321" s="259">
        <v>430000</v>
      </c>
    </row>
    <row r="322" spans="2:6" x14ac:dyDescent="0.25">
      <c r="B322" s="258">
        <v>45176</v>
      </c>
      <c r="C322" s="227" t="s">
        <v>1516</v>
      </c>
      <c r="D322" s="228" t="s">
        <v>2091</v>
      </c>
      <c r="E322" s="229" t="s">
        <v>1263</v>
      </c>
      <c r="F322" s="259">
        <v>181538</v>
      </c>
    </row>
    <row r="323" spans="2:6" x14ac:dyDescent="0.25">
      <c r="B323" s="258">
        <v>45190</v>
      </c>
      <c r="C323" s="227" t="s">
        <v>1517</v>
      </c>
      <c r="D323" s="228" t="s">
        <v>2091</v>
      </c>
      <c r="E323" s="229" t="s">
        <v>1275</v>
      </c>
      <c r="F323" s="259">
        <v>567000</v>
      </c>
    </row>
    <row r="324" spans="2:6" x14ac:dyDescent="0.25">
      <c r="B324" s="258">
        <v>45223</v>
      </c>
      <c r="C324" s="227" t="s">
        <v>2094</v>
      </c>
      <c r="D324" s="228" t="s">
        <v>2091</v>
      </c>
      <c r="E324" s="229" t="s">
        <v>1279</v>
      </c>
      <c r="F324" s="259">
        <v>1088000</v>
      </c>
    </row>
    <row r="325" spans="2:6" x14ac:dyDescent="0.25">
      <c r="B325" s="258">
        <v>45250</v>
      </c>
      <c r="C325" s="227" t="s">
        <v>2095</v>
      </c>
      <c r="D325" s="228" t="s">
        <v>2091</v>
      </c>
      <c r="E325" s="229" t="s">
        <v>1275</v>
      </c>
      <c r="F325" s="259">
        <v>130000</v>
      </c>
    </row>
    <row r="326" spans="2:6" x14ac:dyDescent="0.25">
      <c r="B326" s="258">
        <v>45267</v>
      </c>
      <c r="C326" s="227" t="s">
        <v>2284</v>
      </c>
      <c r="D326" s="228" t="s">
        <v>2091</v>
      </c>
      <c r="E326" s="229" t="s">
        <v>1275</v>
      </c>
      <c r="F326" s="259">
        <v>128800</v>
      </c>
    </row>
    <row r="327" spans="2:6" x14ac:dyDescent="0.25">
      <c r="B327" s="258">
        <v>45302</v>
      </c>
      <c r="C327" s="227" t="s">
        <v>2480</v>
      </c>
      <c r="D327" s="228" t="s">
        <v>2481</v>
      </c>
      <c r="E327" s="229" t="s">
        <v>1263</v>
      </c>
      <c r="F327" s="259">
        <v>208000</v>
      </c>
    </row>
    <row r="328" spans="2:6" x14ac:dyDescent="0.25">
      <c r="B328" s="258">
        <v>45120</v>
      </c>
      <c r="C328" s="227" t="s">
        <v>1521</v>
      </c>
      <c r="D328" s="228" t="s">
        <v>1522</v>
      </c>
      <c r="E328" s="229" t="s">
        <v>1279</v>
      </c>
      <c r="F328" s="259">
        <v>41277.300000000003</v>
      </c>
    </row>
    <row r="329" spans="2:6" x14ac:dyDescent="0.25">
      <c r="B329" s="258">
        <v>45181</v>
      </c>
      <c r="C329" s="227" t="s">
        <v>1298</v>
      </c>
      <c r="D329" s="228" t="s">
        <v>1522</v>
      </c>
      <c r="E329" s="229" t="s">
        <v>1279</v>
      </c>
      <c r="F329" s="259">
        <v>1100114</v>
      </c>
    </row>
    <row r="330" spans="2:6" x14ac:dyDescent="0.25">
      <c r="B330" s="258">
        <v>45201</v>
      </c>
      <c r="C330" s="227" t="s">
        <v>2099</v>
      </c>
      <c r="D330" s="228" t="s">
        <v>2100</v>
      </c>
      <c r="E330" s="229" t="s">
        <v>1279</v>
      </c>
      <c r="F330" s="259">
        <v>866353.05</v>
      </c>
    </row>
    <row r="331" spans="2:6" x14ac:dyDescent="0.25">
      <c r="B331" s="258">
        <v>45288</v>
      </c>
      <c r="C331" s="227" t="s">
        <v>1293</v>
      </c>
      <c r="D331" s="228" t="s">
        <v>2285</v>
      </c>
      <c r="E331" s="229" t="s">
        <v>2286</v>
      </c>
      <c r="F331" s="259">
        <v>365951.04</v>
      </c>
    </row>
    <row r="332" spans="2:6" x14ac:dyDescent="0.25">
      <c r="B332" s="258">
        <v>45309</v>
      </c>
      <c r="C332" s="227" t="s">
        <v>1295</v>
      </c>
      <c r="D332" s="228" t="s">
        <v>2482</v>
      </c>
      <c r="E332" s="229" t="s">
        <v>2483</v>
      </c>
      <c r="F332" s="259">
        <v>140337.4</v>
      </c>
    </row>
    <row r="333" spans="2:6" x14ac:dyDescent="0.25">
      <c r="B333" s="258">
        <v>45272</v>
      </c>
      <c r="C333" s="227" t="s">
        <v>2287</v>
      </c>
      <c r="D333" s="228" t="s">
        <v>2288</v>
      </c>
      <c r="E333" s="229" t="s">
        <v>2289</v>
      </c>
      <c r="F333" s="259">
        <v>42111.839999999997</v>
      </c>
    </row>
    <row r="334" spans="2:6" x14ac:dyDescent="0.25">
      <c r="B334" s="258">
        <v>45216</v>
      </c>
      <c r="C334" s="227" t="s">
        <v>2096</v>
      </c>
      <c r="D334" s="228" t="s">
        <v>2097</v>
      </c>
      <c r="E334" s="229" t="s">
        <v>2098</v>
      </c>
      <c r="F334" s="259">
        <v>340000</v>
      </c>
    </row>
    <row r="335" spans="2:6" x14ac:dyDescent="0.25">
      <c r="B335" s="258">
        <v>45273</v>
      </c>
      <c r="C335" s="227" t="s">
        <v>2290</v>
      </c>
      <c r="D335" s="228" t="s">
        <v>2097</v>
      </c>
      <c r="E335" s="229" t="s">
        <v>1583</v>
      </c>
      <c r="F335" s="259">
        <v>32050</v>
      </c>
    </row>
    <row r="336" spans="2:6" x14ac:dyDescent="0.25">
      <c r="B336" s="258">
        <v>45273</v>
      </c>
      <c r="C336" s="227" t="s">
        <v>2158</v>
      </c>
      <c r="D336" s="228" t="s">
        <v>2102</v>
      </c>
      <c r="E336" s="229" t="s">
        <v>2291</v>
      </c>
      <c r="F336" s="259">
        <v>223814</v>
      </c>
    </row>
    <row r="337" spans="2:6" x14ac:dyDescent="0.25">
      <c r="B337" s="258">
        <v>45098</v>
      </c>
      <c r="C337" s="227" t="s">
        <v>1520</v>
      </c>
      <c r="D337" s="228" t="s">
        <v>1519</v>
      </c>
      <c r="E337" s="229" t="s">
        <v>1263</v>
      </c>
      <c r="F337" s="259">
        <v>1110545</v>
      </c>
    </row>
    <row r="338" spans="2:6" x14ac:dyDescent="0.25">
      <c r="B338" s="258">
        <v>45252</v>
      </c>
      <c r="C338" s="227" t="s">
        <v>2101</v>
      </c>
      <c r="D338" s="228" t="s">
        <v>1519</v>
      </c>
      <c r="E338" s="229" t="s">
        <v>1275</v>
      </c>
      <c r="F338" s="259">
        <v>1351500</v>
      </c>
    </row>
    <row r="339" spans="2:6" x14ac:dyDescent="0.25">
      <c r="B339" s="261">
        <v>44874</v>
      </c>
      <c r="C339" s="227" t="s">
        <v>1523</v>
      </c>
      <c r="D339" s="228" t="s">
        <v>1524</v>
      </c>
      <c r="E339" s="229" t="s">
        <v>1275</v>
      </c>
      <c r="F339" s="259">
        <v>21300</v>
      </c>
    </row>
    <row r="340" spans="2:6" x14ac:dyDescent="0.25">
      <c r="B340" s="258">
        <v>44988</v>
      </c>
      <c r="C340" s="227" t="s">
        <v>1525</v>
      </c>
      <c r="D340" s="228" t="s">
        <v>1524</v>
      </c>
      <c r="E340" s="229" t="s">
        <v>1316</v>
      </c>
      <c r="F340" s="259">
        <v>401081.42</v>
      </c>
    </row>
    <row r="341" spans="2:6" x14ac:dyDescent="0.25">
      <c r="B341" s="258">
        <v>44992</v>
      </c>
      <c r="C341" s="227" t="s">
        <v>1526</v>
      </c>
      <c r="D341" s="228" t="s">
        <v>1524</v>
      </c>
      <c r="E341" s="229" t="s">
        <v>1275</v>
      </c>
      <c r="F341" s="259">
        <v>14700</v>
      </c>
    </row>
    <row r="342" spans="2:6" x14ac:dyDescent="0.25">
      <c r="B342" s="258">
        <v>45035</v>
      </c>
      <c r="C342" s="227" t="s">
        <v>1527</v>
      </c>
      <c r="D342" s="228" t="s">
        <v>1524</v>
      </c>
      <c r="E342" s="229" t="s">
        <v>1275</v>
      </c>
      <c r="F342" s="259">
        <v>403616.64</v>
      </c>
    </row>
    <row r="343" spans="2:6" x14ac:dyDescent="0.25">
      <c r="B343" s="258">
        <v>45058</v>
      </c>
      <c r="C343" s="227" t="s">
        <v>1528</v>
      </c>
      <c r="D343" s="228" t="s">
        <v>1524</v>
      </c>
      <c r="E343" s="229" t="s">
        <v>1275</v>
      </c>
      <c r="F343" s="259">
        <v>516000</v>
      </c>
    </row>
    <row r="344" spans="2:6" x14ac:dyDescent="0.25">
      <c r="B344" s="258">
        <v>45077</v>
      </c>
      <c r="C344" s="227" t="s">
        <v>1529</v>
      </c>
      <c r="D344" s="228" t="s">
        <v>1524</v>
      </c>
      <c r="E344" s="229" t="s">
        <v>1275</v>
      </c>
      <c r="F344" s="259">
        <v>158970</v>
      </c>
    </row>
    <row r="345" spans="2:6" x14ac:dyDescent="0.25">
      <c r="B345" s="258">
        <v>45078</v>
      </c>
      <c r="C345" s="227" t="s">
        <v>1530</v>
      </c>
      <c r="D345" s="228" t="s">
        <v>1524</v>
      </c>
      <c r="E345" s="229" t="s">
        <v>1279</v>
      </c>
      <c r="F345" s="259">
        <v>566970.88</v>
      </c>
    </row>
    <row r="346" spans="2:6" x14ac:dyDescent="0.25">
      <c r="B346" s="258">
        <v>45086</v>
      </c>
      <c r="C346" s="227" t="s">
        <v>1531</v>
      </c>
      <c r="D346" s="228" t="s">
        <v>1524</v>
      </c>
      <c r="E346" s="229" t="s">
        <v>1279</v>
      </c>
      <c r="F346" s="259">
        <v>59000</v>
      </c>
    </row>
    <row r="347" spans="2:6" x14ac:dyDescent="0.25">
      <c r="B347" s="258">
        <v>45096</v>
      </c>
      <c r="C347" s="227" t="s">
        <v>1532</v>
      </c>
      <c r="D347" s="228" t="s">
        <v>1524</v>
      </c>
      <c r="E347" s="229" t="s">
        <v>1279</v>
      </c>
      <c r="F347" s="259">
        <v>48300</v>
      </c>
    </row>
    <row r="348" spans="2:6" x14ac:dyDescent="0.25">
      <c r="B348" s="258">
        <v>45098</v>
      </c>
      <c r="C348" s="227" t="s">
        <v>1533</v>
      </c>
      <c r="D348" s="228" t="s">
        <v>1524</v>
      </c>
      <c r="E348" s="229" t="s">
        <v>1279</v>
      </c>
      <c r="F348" s="259">
        <v>340076</v>
      </c>
    </row>
    <row r="349" spans="2:6" x14ac:dyDescent="0.25">
      <c r="B349" s="258">
        <v>45104</v>
      </c>
      <c r="C349" s="227" t="s">
        <v>1534</v>
      </c>
      <c r="D349" s="228" t="s">
        <v>1524</v>
      </c>
      <c r="E349" s="229" t="s">
        <v>1263</v>
      </c>
      <c r="F349" s="259">
        <v>46300</v>
      </c>
    </row>
    <row r="350" spans="2:6" x14ac:dyDescent="0.25">
      <c r="B350" s="258">
        <v>45104</v>
      </c>
      <c r="C350" s="227" t="s">
        <v>1535</v>
      </c>
      <c r="D350" s="228" t="s">
        <v>1524</v>
      </c>
      <c r="E350" s="229" t="s">
        <v>1263</v>
      </c>
      <c r="F350" s="259">
        <v>76800</v>
      </c>
    </row>
    <row r="351" spans="2:6" x14ac:dyDescent="0.25">
      <c r="B351" s="258">
        <v>45125</v>
      </c>
      <c r="C351" s="227" t="s">
        <v>1536</v>
      </c>
      <c r="D351" s="228" t="s">
        <v>1524</v>
      </c>
      <c r="E351" s="229" t="s">
        <v>1263</v>
      </c>
      <c r="F351" s="259">
        <v>18936</v>
      </c>
    </row>
    <row r="352" spans="2:6" x14ac:dyDescent="0.25">
      <c r="B352" s="258">
        <v>45145</v>
      </c>
      <c r="C352" s="227" t="s">
        <v>1537</v>
      </c>
      <c r="D352" s="228" t="s">
        <v>1524</v>
      </c>
      <c r="E352" s="229" t="s">
        <v>1263</v>
      </c>
      <c r="F352" s="259">
        <v>62500</v>
      </c>
    </row>
    <row r="353" spans="2:6" x14ac:dyDescent="0.25">
      <c r="B353" s="258">
        <v>45148</v>
      </c>
      <c r="C353" s="227" t="s">
        <v>1538</v>
      </c>
      <c r="D353" s="228" t="s">
        <v>1524</v>
      </c>
      <c r="E353" s="229" t="s">
        <v>1279</v>
      </c>
      <c r="F353" s="259">
        <v>20514</v>
      </c>
    </row>
    <row r="354" spans="2:6" x14ac:dyDescent="0.25">
      <c r="B354" s="258">
        <v>45155</v>
      </c>
      <c r="C354" s="227" t="s">
        <v>1539</v>
      </c>
      <c r="D354" s="228" t="s">
        <v>1524</v>
      </c>
      <c r="E354" s="229" t="s">
        <v>1279</v>
      </c>
      <c r="F354" s="259">
        <v>79296</v>
      </c>
    </row>
    <row r="355" spans="2:6" x14ac:dyDescent="0.25">
      <c r="B355" s="258">
        <v>45166</v>
      </c>
      <c r="C355" s="227" t="s">
        <v>1540</v>
      </c>
      <c r="D355" s="228" t="s">
        <v>1524</v>
      </c>
      <c r="E355" s="229" t="s">
        <v>1279</v>
      </c>
      <c r="F355" s="259">
        <v>374000</v>
      </c>
    </row>
    <row r="356" spans="2:6" x14ac:dyDescent="0.25">
      <c r="B356" s="258">
        <v>45166</v>
      </c>
      <c r="C356" s="227" t="s">
        <v>1541</v>
      </c>
      <c r="D356" s="228" t="s">
        <v>1524</v>
      </c>
      <c r="E356" s="229" t="s">
        <v>1279</v>
      </c>
      <c r="F356" s="259">
        <v>219206.24</v>
      </c>
    </row>
    <row r="357" spans="2:6" x14ac:dyDescent="0.25">
      <c r="B357" s="258">
        <v>45168</v>
      </c>
      <c r="C357" s="227" t="s">
        <v>1542</v>
      </c>
      <c r="D357" s="228" t="s">
        <v>1524</v>
      </c>
      <c r="E357" s="229" t="s">
        <v>1279</v>
      </c>
      <c r="F357" s="259">
        <v>39450</v>
      </c>
    </row>
    <row r="358" spans="2:6" x14ac:dyDescent="0.25">
      <c r="B358" s="258">
        <v>45168</v>
      </c>
      <c r="C358" s="227" t="s">
        <v>1543</v>
      </c>
      <c r="D358" s="228" t="s">
        <v>1524</v>
      </c>
      <c r="E358" s="229" t="s">
        <v>1544</v>
      </c>
      <c r="F358" s="259">
        <v>822845</v>
      </c>
    </row>
    <row r="359" spans="2:6" x14ac:dyDescent="0.25">
      <c r="B359" s="258">
        <v>45168</v>
      </c>
      <c r="C359" s="227" t="s">
        <v>1545</v>
      </c>
      <c r="D359" s="228" t="s">
        <v>1524</v>
      </c>
      <c r="E359" s="229" t="s">
        <v>1263</v>
      </c>
      <c r="F359" s="259">
        <v>278260</v>
      </c>
    </row>
    <row r="360" spans="2:6" x14ac:dyDescent="0.25">
      <c r="B360" s="258">
        <v>45182</v>
      </c>
      <c r="C360" s="227" t="s">
        <v>1546</v>
      </c>
      <c r="D360" s="228" t="s">
        <v>1524</v>
      </c>
      <c r="E360" s="229" t="s">
        <v>1547</v>
      </c>
      <c r="F360" s="259">
        <v>12040</v>
      </c>
    </row>
    <row r="361" spans="2:6" x14ac:dyDescent="0.25">
      <c r="B361" s="258">
        <v>45183</v>
      </c>
      <c r="C361" s="227" t="s">
        <v>1548</v>
      </c>
      <c r="D361" s="228" t="s">
        <v>1524</v>
      </c>
      <c r="E361" s="229" t="s">
        <v>1279</v>
      </c>
      <c r="F361" s="259">
        <v>202821</v>
      </c>
    </row>
    <row r="362" spans="2:6" x14ac:dyDescent="0.25">
      <c r="B362" s="258">
        <v>45183</v>
      </c>
      <c r="C362" s="227" t="s">
        <v>1549</v>
      </c>
      <c r="D362" s="228" t="s">
        <v>1524</v>
      </c>
      <c r="E362" s="229" t="s">
        <v>1316</v>
      </c>
      <c r="F362" s="259">
        <v>5192</v>
      </c>
    </row>
    <row r="363" spans="2:6" x14ac:dyDescent="0.25">
      <c r="B363" s="258">
        <v>45183</v>
      </c>
      <c r="C363" s="227" t="s">
        <v>1550</v>
      </c>
      <c r="D363" s="228" t="s">
        <v>1524</v>
      </c>
      <c r="E363" s="229" t="s">
        <v>1348</v>
      </c>
      <c r="F363" s="259">
        <v>12939</v>
      </c>
    </row>
    <row r="364" spans="2:6" x14ac:dyDescent="0.25">
      <c r="B364" s="258">
        <v>45183</v>
      </c>
      <c r="C364" s="227" t="s">
        <v>1551</v>
      </c>
      <c r="D364" s="228" t="s">
        <v>1524</v>
      </c>
      <c r="E364" s="229" t="s">
        <v>1552</v>
      </c>
      <c r="F364" s="259">
        <v>154100</v>
      </c>
    </row>
    <row r="365" spans="2:6" x14ac:dyDescent="0.25">
      <c r="B365" s="258">
        <v>45183</v>
      </c>
      <c r="C365" s="227" t="s">
        <v>1553</v>
      </c>
      <c r="D365" s="228" t="s">
        <v>1524</v>
      </c>
      <c r="E365" s="229" t="s">
        <v>1348</v>
      </c>
      <c r="F365" s="259">
        <v>356000</v>
      </c>
    </row>
    <row r="366" spans="2:6" x14ac:dyDescent="0.25">
      <c r="B366" s="258">
        <v>45188</v>
      </c>
      <c r="C366" s="227" t="s">
        <v>1554</v>
      </c>
      <c r="D366" s="228" t="s">
        <v>1524</v>
      </c>
      <c r="E366" s="229" t="s">
        <v>1316</v>
      </c>
      <c r="F366" s="259">
        <v>158238</v>
      </c>
    </row>
    <row r="367" spans="2:6" x14ac:dyDescent="0.25">
      <c r="B367" s="258">
        <v>45190</v>
      </c>
      <c r="C367" s="227" t="s">
        <v>1555</v>
      </c>
      <c r="D367" s="228" t="s">
        <v>1524</v>
      </c>
      <c r="E367" s="229" t="s">
        <v>1263</v>
      </c>
      <c r="F367" s="259">
        <v>221232</v>
      </c>
    </row>
    <row r="368" spans="2:6" x14ac:dyDescent="0.25">
      <c r="B368" s="258">
        <v>45208</v>
      </c>
      <c r="C368" s="227" t="s">
        <v>2103</v>
      </c>
      <c r="D368" s="228" t="s">
        <v>1524</v>
      </c>
      <c r="E368" s="229" t="s">
        <v>1275</v>
      </c>
      <c r="F368" s="259">
        <v>435509.2</v>
      </c>
    </row>
    <row r="369" spans="2:6" x14ac:dyDescent="0.25">
      <c r="B369" s="258">
        <v>45208</v>
      </c>
      <c r="C369" s="227" t="s">
        <v>1655</v>
      </c>
      <c r="D369" s="228" t="s">
        <v>1524</v>
      </c>
      <c r="E369" s="229" t="s">
        <v>1279</v>
      </c>
      <c r="F369" s="259">
        <v>47200</v>
      </c>
    </row>
    <row r="370" spans="2:6" x14ac:dyDescent="0.25">
      <c r="B370" s="258">
        <v>45208</v>
      </c>
      <c r="C370" s="227" t="s">
        <v>2104</v>
      </c>
      <c r="D370" s="228" t="s">
        <v>1524</v>
      </c>
      <c r="E370" s="229" t="s">
        <v>1279</v>
      </c>
      <c r="F370" s="259">
        <v>173995.2</v>
      </c>
    </row>
    <row r="371" spans="2:6" x14ac:dyDescent="0.25">
      <c r="B371" s="258">
        <v>45208</v>
      </c>
      <c r="C371" s="227" t="s">
        <v>1654</v>
      </c>
      <c r="D371" s="228" t="s">
        <v>1524</v>
      </c>
      <c r="E371" s="229" t="s">
        <v>1275</v>
      </c>
      <c r="F371" s="259">
        <v>62400</v>
      </c>
    </row>
    <row r="372" spans="2:6" x14ac:dyDescent="0.25">
      <c r="B372" s="258">
        <v>45215</v>
      </c>
      <c r="C372" s="227" t="s">
        <v>1719</v>
      </c>
      <c r="D372" s="228" t="s">
        <v>1524</v>
      </c>
      <c r="E372" s="229" t="s">
        <v>1279</v>
      </c>
      <c r="F372" s="259">
        <v>154000</v>
      </c>
    </row>
    <row r="373" spans="2:6" x14ac:dyDescent="0.25">
      <c r="B373" s="258">
        <v>45217</v>
      </c>
      <c r="C373" s="227" t="s">
        <v>2105</v>
      </c>
      <c r="D373" s="228" t="s">
        <v>1524</v>
      </c>
      <c r="E373" s="229" t="s">
        <v>1279</v>
      </c>
      <c r="F373" s="259">
        <v>181954</v>
      </c>
    </row>
    <row r="374" spans="2:6" x14ac:dyDescent="0.25">
      <c r="B374" s="258">
        <v>45229</v>
      </c>
      <c r="C374" s="227" t="s">
        <v>2106</v>
      </c>
      <c r="D374" s="228" t="s">
        <v>1524</v>
      </c>
      <c r="E374" s="229" t="s">
        <v>1275</v>
      </c>
      <c r="F374" s="259">
        <v>29950</v>
      </c>
    </row>
    <row r="375" spans="2:6" x14ac:dyDescent="0.25">
      <c r="B375" s="258">
        <v>45233</v>
      </c>
      <c r="C375" s="227" t="s">
        <v>2107</v>
      </c>
      <c r="D375" s="228" t="s">
        <v>1524</v>
      </c>
      <c r="E375" s="229" t="s">
        <v>1275</v>
      </c>
      <c r="F375" s="259">
        <v>244008</v>
      </c>
    </row>
    <row r="376" spans="2:6" x14ac:dyDescent="0.25">
      <c r="B376" s="258">
        <v>45238</v>
      </c>
      <c r="C376" s="227" t="s">
        <v>2108</v>
      </c>
      <c r="D376" s="228" t="s">
        <v>1524</v>
      </c>
      <c r="E376" s="229" t="s">
        <v>1275</v>
      </c>
      <c r="F376" s="259">
        <v>114472</v>
      </c>
    </row>
    <row r="377" spans="2:6" x14ac:dyDescent="0.25">
      <c r="B377" s="258">
        <v>45244</v>
      </c>
      <c r="C377" s="227" t="s">
        <v>2109</v>
      </c>
      <c r="D377" s="228" t="s">
        <v>1524</v>
      </c>
      <c r="E377" s="229" t="s">
        <v>2032</v>
      </c>
      <c r="F377" s="259">
        <v>1256200</v>
      </c>
    </row>
    <row r="378" spans="2:6" x14ac:dyDescent="0.25">
      <c r="B378" s="258">
        <v>45250</v>
      </c>
      <c r="C378" s="227" t="s">
        <v>2110</v>
      </c>
      <c r="D378" s="228" t="s">
        <v>1524</v>
      </c>
      <c r="E378" s="229" t="s">
        <v>1587</v>
      </c>
      <c r="F378" s="259">
        <v>17552.5</v>
      </c>
    </row>
    <row r="379" spans="2:6" x14ac:dyDescent="0.25">
      <c r="B379" s="258">
        <v>45251</v>
      </c>
      <c r="C379" s="227" t="s">
        <v>2111</v>
      </c>
      <c r="D379" s="228" t="s">
        <v>1524</v>
      </c>
      <c r="E379" s="229" t="s">
        <v>1275</v>
      </c>
      <c r="F379" s="259">
        <v>21000</v>
      </c>
    </row>
    <row r="380" spans="2:6" x14ac:dyDescent="0.25">
      <c r="B380" s="258">
        <v>45266</v>
      </c>
      <c r="C380" s="227" t="s">
        <v>1744</v>
      </c>
      <c r="D380" s="228" t="s">
        <v>1524</v>
      </c>
      <c r="E380" s="229" t="s">
        <v>1275</v>
      </c>
      <c r="F380" s="259">
        <v>228600</v>
      </c>
    </row>
    <row r="381" spans="2:6" x14ac:dyDescent="0.25">
      <c r="B381" s="258">
        <v>45272</v>
      </c>
      <c r="C381" s="227" t="s">
        <v>2292</v>
      </c>
      <c r="D381" s="228" t="s">
        <v>1524</v>
      </c>
      <c r="E381" s="229" t="s">
        <v>1263</v>
      </c>
      <c r="F381" s="259">
        <v>100302.93</v>
      </c>
    </row>
    <row r="382" spans="2:6" x14ac:dyDescent="0.25">
      <c r="B382" s="258">
        <v>45273</v>
      </c>
      <c r="C382" s="227" t="s">
        <v>2293</v>
      </c>
      <c r="D382" s="228" t="s">
        <v>1524</v>
      </c>
      <c r="E382" s="229" t="s">
        <v>1275</v>
      </c>
      <c r="F382" s="259">
        <v>6300</v>
      </c>
    </row>
    <row r="383" spans="2:6" x14ac:dyDescent="0.25">
      <c r="B383" s="258">
        <v>45278</v>
      </c>
      <c r="C383" s="227" t="s">
        <v>2294</v>
      </c>
      <c r="D383" s="228" t="s">
        <v>1524</v>
      </c>
      <c r="E383" s="229" t="s">
        <v>1275</v>
      </c>
      <c r="F383" s="259">
        <v>115500</v>
      </c>
    </row>
    <row r="384" spans="2:6" x14ac:dyDescent="0.25">
      <c r="B384" s="258">
        <v>45278</v>
      </c>
      <c r="C384" s="227" t="s">
        <v>2295</v>
      </c>
      <c r="D384" s="228" t="s">
        <v>1524</v>
      </c>
      <c r="E384" s="229" t="s">
        <v>1275</v>
      </c>
      <c r="F384" s="259">
        <v>92351.2</v>
      </c>
    </row>
    <row r="385" spans="2:6" x14ac:dyDescent="0.25">
      <c r="B385" s="258">
        <v>45279</v>
      </c>
      <c r="C385" s="227" t="s">
        <v>2296</v>
      </c>
      <c r="D385" s="228" t="s">
        <v>1524</v>
      </c>
      <c r="E385" s="229" t="s">
        <v>1279</v>
      </c>
      <c r="F385" s="259">
        <v>291906.03999999998</v>
      </c>
    </row>
    <row r="386" spans="2:6" x14ac:dyDescent="0.25">
      <c r="B386" s="258">
        <v>45286</v>
      </c>
      <c r="C386" s="227" t="s">
        <v>2297</v>
      </c>
      <c r="D386" s="228" t="s">
        <v>1524</v>
      </c>
      <c r="E386" s="229" t="s">
        <v>1334</v>
      </c>
      <c r="F386" s="259">
        <v>36249.599999999999</v>
      </c>
    </row>
    <row r="387" spans="2:6" x14ac:dyDescent="0.25">
      <c r="B387" s="258">
        <v>45278</v>
      </c>
      <c r="C387" s="227" t="s">
        <v>2298</v>
      </c>
      <c r="D387" s="228" t="s">
        <v>2299</v>
      </c>
      <c r="E387" s="229" t="s">
        <v>1279</v>
      </c>
      <c r="F387" s="259">
        <v>491227.5</v>
      </c>
    </row>
    <row r="388" spans="2:6" x14ac:dyDescent="0.25">
      <c r="B388" s="258">
        <v>45310</v>
      </c>
      <c r="C388" s="227" t="s">
        <v>1416</v>
      </c>
      <c r="D388" s="228" t="s">
        <v>2484</v>
      </c>
      <c r="E388" s="229" t="s">
        <v>2485</v>
      </c>
      <c r="F388" s="259">
        <v>109928.8</v>
      </c>
    </row>
    <row r="389" spans="2:6" x14ac:dyDescent="0.25">
      <c r="B389" s="258">
        <v>45275</v>
      </c>
      <c r="C389" s="227" t="s">
        <v>2300</v>
      </c>
      <c r="D389" s="228" t="s">
        <v>2301</v>
      </c>
      <c r="E389" s="229" t="s">
        <v>2302</v>
      </c>
      <c r="F389" s="259">
        <v>71125</v>
      </c>
    </row>
    <row r="390" spans="2:6" x14ac:dyDescent="0.25">
      <c r="B390" s="258">
        <v>45315</v>
      </c>
      <c r="C390" s="227" t="s">
        <v>2486</v>
      </c>
      <c r="D390" s="228" t="s">
        <v>2301</v>
      </c>
      <c r="E390" s="229" t="s">
        <v>1275</v>
      </c>
      <c r="F390" s="259">
        <v>69580</v>
      </c>
    </row>
    <row r="391" spans="2:6" x14ac:dyDescent="0.25">
      <c r="B391" s="258">
        <v>45266</v>
      </c>
      <c r="C391" s="227" t="s">
        <v>1373</v>
      </c>
      <c r="D391" s="228" t="s">
        <v>2303</v>
      </c>
      <c r="E391" s="229" t="s">
        <v>1275</v>
      </c>
      <c r="F391" s="259">
        <v>615000</v>
      </c>
    </row>
    <row r="392" spans="2:6" x14ac:dyDescent="0.25">
      <c r="B392" s="258">
        <v>45266</v>
      </c>
      <c r="C392" s="227" t="s">
        <v>2304</v>
      </c>
      <c r="D392" s="228" t="s">
        <v>2303</v>
      </c>
      <c r="E392" s="229" t="s">
        <v>1275</v>
      </c>
      <c r="F392" s="259">
        <v>15000</v>
      </c>
    </row>
    <row r="393" spans="2:6" x14ac:dyDescent="0.25">
      <c r="B393" s="258">
        <v>45268</v>
      </c>
      <c r="C393" s="227" t="s">
        <v>2305</v>
      </c>
      <c r="D393" s="228" t="s">
        <v>2303</v>
      </c>
      <c r="E393" s="229" t="s">
        <v>1279</v>
      </c>
      <c r="F393" s="259">
        <v>55696</v>
      </c>
    </row>
    <row r="394" spans="2:6" x14ac:dyDescent="0.25">
      <c r="B394" s="258">
        <v>45295</v>
      </c>
      <c r="C394" s="227" t="s">
        <v>2487</v>
      </c>
      <c r="D394" s="228" t="s">
        <v>2303</v>
      </c>
      <c r="E394" s="229" t="s">
        <v>1263</v>
      </c>
      <c r="F394" s="259">
        <v>1500000</v>
      </c>
    </row>
    <row r="395" spans="2:6" x14ac:dyDescent="0.25">
      <c r="B395" s="258">
        <v>43803</v>
      </c>
      <c r="C395" s="231">
        <v>672</v>
      </c>
      <c r="D395" s="228" t="s">
        <v>1557</v>
      </c>
      <c r="E395" s="229" t="s">
        <v>1263</v>
      </c>
      <c r="F395" s="259">
        <v>35136.550000000003</v>
      </c>
    </row>
    <row r="396" spans="2:6" x14ac:dyDescent="0.25">
      <c r="B396" s="258">
        <v>43818</v>
      </c>
      <c r="C396" s="231">
        <v>677</v>
      </c>
      <c r="D396" s="228" t="s">
        <v>1557</v>
      </c>
      <c r="E396" s="229" t="s">
        <v>1263</v>
      </c>
      <c r="F396" s="259">
        <v>35136.550000000003</v>
      </c>
    </row>
    <row r="397" spans="2:6" x14ac:dyDescent="0.25">
      <c r="B397" s="258">
        <v>44067</v>
      </c>
      <c r="C397" s="227" t="s">
        <v>1558</v>
      </c>
      <c r="D397" s="228" t="s">
        <v>1557</v>
      </c>
      <c r="E397" s="229" t="s">
        <v>1263</v>
      </c>
      <c r="F397" s="259">
        <v>997350</v>
      </c>
    </row>
    <row r="398" spans="2:6" x14ac:dyDescent="0.25">
      <c r="B398" s="258">
        <v>45105</v>
      </c>
      <c r="C398" s="227" t="s">
        <v>1560</v>
      </c>
      <c r="D398" s="228" t="s">
        <v>1559</v>
      </c>
      <c r="E398" s="229" t="s">
        <v>1561</v>
      </c>
      <c r="F398" s="259">
        <v>168635.74</v>
      </c>
    </row>
    <row r="399" spans="2:6" x14ac:dyDescent="0.25">
      <c r="B399" s="258">
        <v>45105</v>
      </c>
      <c r="C399" s="227" t="s">
        <v>1562</v>
      </c>
      <c r="D399" s="228" t="s">
        <v>1559</v>
      </c>
      <c r="E399" s="229" t="s">
        <v>1563</v>
      </c>
      <c r="F399" s="259">
        <v>57003.63</v>
      </c>
    </row>
    <row r="400" spans="2:6" x14ac:dyDescent="0.25">
      <c r="B400" s="258">
        <v>45111</v>
      </c>
      <c r="C400" s="227" t="s">
        <v>1564</v>
      </c>
      <c r="D400" s="228" t="s">
        <v>1559</v>
      </c>
      <c r="E400" s="229" t="s">
        <v>1279</v>
      </c>
      <c r="F400" s="259">
        <v>323592.23</v>
      </c>
    </row>
    <row r="401" spans="2:6" x14ac:dyDescent="0.25">
      <c r="B401" s="258">
        <v>45216</v>
      </c>
      <c r="C401" s="227" t="s">
        <v>2112</v>
      </c>
      <c r="D401" s="228" t="s">
        <v>1559</v>
      </c>
      <c r="E401" s="229" t="s">
        <v>1279</v>
      </c>
      <c r="F401" s="259">
        <v>1140072.58</v>
      </c>
    </row>
    <row r="402" spans="2:6" x14ac:dyDescent="0.25">
      <c r="B402" s="258">
        <v>45226</v>
      </c>
      <c r="C402" s="227" t="s">
        <v>2113</v>
      </c>
      <c r="D402" s="228" t="s">
        <v>1559</v>
      </c>
      <c r="E402" s="229" t="s">
        <v>1279</v>
      </c>
      <c r="F402" s="259">
        <v>335321.07</v>
      </c>
    </row>
    <row r="403" spans="2:6" x14ac:dyDescent="0.25">
      <c r="B403" s="258">
        <v>45014</v>
      </c>
      <c r="C403" s="227" t="s">
        <v>1518</v>
      </c>
      <c r="D403" s="228" t="s">
        <v>2114</v>
      </c>
      <c r="E403" s="229" t="s">
        <v>1569</v>
      </c>
      <c r="F403" s="259">
        <v>1360000</v>
      </c>
    </row>
    <row r="404" spans="2:6" x14ac:dyDescent="0.25">
      <c r="B404" s="258">
        <v>45223</v>
      </c>
      <c r="C404" s="227" t="s">
        <v>2115</v>
      </c>
      <c r="D404" s="228" t="s">
        <v>2114</v>
      </c>
      <c r="E404" s="229" t="s">
        <v>1279</v>
      </c>
      <c r="F404" s="259">
        <v>202488</v>
      </c>
    </row>
    <row r="405" spans="2:6" x14ac:dyDescent="0.25">
      <c r="B405" s="258">
        <v>45215</v>
      </c>
      <c r="C405" s="227" t="s">
        <v>1361</v>
      </c>
      <c r="D405" s="228" t="s">
        <v>1571</v>
      </c>
      <c r="E405" s="229" t="s">
        <v>2116</v>
      </c>
      <c r="F405" s="259">
        <v>153636</v>
      </c>
    </row>
    <row r="406" spans="2:6" x14ac:dyDescent="0.25">
      <c r="B406" s="258">
        <v>45271</v>
      </c>
      <c r="C406" s="227" t="s">
        <v>1793</v>
      </c>
      <c r="D406" s="228" t="s">
        <v>1571</v>
      </c>
      <c r="E406" s="229" t="s">
        <v>2306</v>
      </c>
      <c r="F406" s="259">
        <v>90270</v>
      </c>
    </row>
    <row r="407" spans="2:6" x14ac:dyDescent="0.25">
      <c r="B407" s="258">
        <v>45278</v>
      </c>
      <c r="C407" s="227" t="s">
        <v>1795</v>
      </c>
      <c r="D407" s="228" t="s">
        <v>1571</v>
      </c>
      <c r="E407" s="229" t="s">
        <v>1791</v>
      </c>
      <c r="F407" s="259">
        <v>942489.59999999998</v>
      </c>
    </row>
    <row r="408" spans="2:6" x14ac:dyDescent="0.25">
      <c r="B408" s="258">
        <v>45302</v>
      </c>
      <c r="C408" s="227" t="s">
        <v>2488</v>
      </c>
      <c r="D408" s="228" t="s">
        <v>1571</v>
      </c>
      <c r="E408" s="229" t="s">
        <v>1279</v>
      </c>
      <c r="F408" s="259">
        <v>44232.3</v>
      </c>
    </row>
    <row r="409" spans="2:6" x14ac:dyDescent="0.25">
      <c r="B409" s="258">
        <v>45315</v>
      </c>
      <c r="C409" s="227" t="s">
        <v>2489</v>
      </c>
      <c r="D409" s="228" t="s">
        <v>1571</v>
      </c>
      <c r="E409" s="229" t="s">
        <v>2490</v>
      </c>
      <c r="F409" s="259">
        <v>445190.40000000002</v>
      </c>
    </row>
    <row r="410" spans="2:6" x14ac:dyDescent="0.25">
      <c r="B410" s="258">
        <v>45183</v>
      </c>
      <c r="C410" s="227" t="s">
        <v>1572</v>
      </c>
      <c r="D410" s="228" t="s">
        <v>1573</v>
      </c>
      <c r="E410" s="229" t="s">
        <v>1574</v>
      </c>
      <c r="F410" s="259">
        <v>31860</v>
      </c>
    </row>
    <row r="411" spans="2:6" x14ac:dyDescent="0.25">
      <c r="B411" s="258">
        <v>45239</v>
      </c>
      <c r="C411" s="227" t="s">
        <v>2117</v>
      </c>
      <c r="D411" s="228" t="s">
        <v>1575</v>
      </c>
      <c r="E411" s="229" t="s">
        <v>1275</v>
      </c>
      <c r="F411" s="259">
        <v>468996.1</v>
      </c>
    </row>
    <row r="412" spans="2:6" x14ac:dyDescent="0.25">
      <c r="B412" s="258">
        <v>45274</v>
      </c>
      <c r="C412" s="227" t="s">
        <v>2307</v>
      </c>
      <c r="D412" s="228" t="s">
        <v>1575</v>
      </c>
      <c r="E412" s="229" t="s">
        <v>1275</v>
      </c>
      <c r="F412" s="259">
        <v>570935</v>
      </c>
    </row>
    <row r="413" spans="2:6" x14ac:dyDescent="0.25">
      <c r="B413" s="258">
        <v>45264</v>
      </c>
      <c r="C413" s="227" t="s">
        <v>1376</v>
      </c>
      <c r="D413" s="228" t="s">
        <v>2308</v>
      </c>
      <c r="E413" s="229" t="s">
        <v>2309</v>
      </c>
      <c r="F413" s="259">
        <v>101167.98</v>
      </c>
    </row>
    <row r="414" spans="2:6" x14ac:dyDescent="0.25">
      <c r="B414" s="258">
        <v>45181</v>
      </c>
      <c r="C414" s="227" t="s">
        <v>1577</v>
      </c>
      <c r="D414" s="228" t="s">
        <v>1576</v>
      </c>
      <c r="E414" s="229" t="s">
        <v>1279</v>
      </c>
      <c r="F414" s="259">
        <v>1404200</v>
      </c>
    </row>
    <row r="415" spans="2:6" x14ac:dyDescent="0.25">
      <c r="B415" s="258">
        <v>45065</v>
      </c>
      <c r="C415" s="227" t="s">
        <v>1579</v>
      </c>
      <c r="D415" s="228" t="s">
        <v>1578</v>
      </c>
      <c r="E415" s="229" t="s">
        <v>1275</v>
      </c>
      <c r="F415" s="259">
        <v>224000</v>
      </c>
    </row>
    <row r="416" spans="2:6" x14ac:dyDescent="0.25">
      <c r="B416" s="258">
        <v>45069</v>
      </c>
      <c r="C416" s="227" t="s">
        <v>1580</v>
      </c>
      <c r="D416" s="228" t="s">
        <v>1578</v>
      </c>
      <c r="E416" s="229" t="s">
        <v>1275</v>
      </c>
      <c r="F416" s="259">
        <v>896000</v>
      </c>
    </row>
    <row r="417" spans="2:6" x14ac:dyDescent="0.25">
      <c r="B417" s="258">
        <v>45187</v>
      </c>
      <c r="C417" s="227" t="s">
        <v>1581</v>
      </c>
      <c r="D417" s="228" t="s">
        <v>1578</v>
      </c>
      <c r="E417" s="229" t="s">
        <v>1275</v>
      </c>
      <c r="F417" s="259">
        <v>1137500</v>
      </c>
    </row>
    <row r="418" spans="2:6" x14ac:dyDescent="0.25">
      <c r="B418" s="258">
        <v>45251</v>
      </c>
      <c r="C418" s="227" t="s">
        <v>2118</v>
      </c>
      <c r="D418" s="228" t="s">
        <v>1578</v>
      </c>
      <c r="E418" s="229" t="s">
        <v>1275</v>
      </c>
      <c r="F418" s="259">
        <v>67200</v>
      </c>
    </row>
    <row r="419" spans="2:6" x14ac:dyDescent="0.25">
      <c r="B419" s="258">
        <v>45258</v>
      </c>
      <c r="C419" s="227" t="s">
        <v>2178</v>
      </c>
      <c r="D419" s="228" t="s">
        <v>1578</v>
      </c>
      <c r="E419" s="229" t="s">
        <v>1263</v>
      </c>
      <c r="F419" s="259">
        <v>98560</v>
      </c>
    </row>
    <row r="420" spans="2:6" x14ac:dyDescent="0.25">
      <c r="B420" s="258">
        <v>45261</v>
      </c>
      <c r="C420" s="227" t="s">
        <v>2310</v>
      </c>
      <c r="D420" s="228" t="s">
        <v>1578</v>
      </c>
      <c r="E420" s="229" t="s">
        <v>1275</v>
      </c>
      <c r="F420" s="259">
        <v>15680</v>
      </c>
    </row>
    <row r="421" spans="2:6" x14ac:dyDescent="0.25">
      <c r="B421" s="258">
        <v>45264</v>
      </c>
      <c r="C421" s="227" t="s">
        <v>2180</v>
      </c>
      <c r="D421" s="228" t="s">
        <v>1578</v>
      </c>
      <c r="E421" s="229" t="s">
        <v>1275</v>
      </c>
      <c r="F421" s="259">
        <v>268800</v>
      </c>
    </row>
    <row r="422" spans="2:6" x14ac:dyDescent="0.25">
      <c r="B422" s="258">
        <v>45266</v>
      </c>
      <c r="C422" s="227" t="s">
        <v>2311</v>
      </c>
      <c r="D422" s="228" t="s">
        <v>1578</v>
      </c>
      <c r="E422" s="229" t="s">
        <v>1275</v>
      </c>
      <c r="F422" s="259">
        <v>860160</v>
      </c>
    </row>
    <row r="423" spans="2:6" x14ac:dyDescent="0.25">
      <c r="B423" s="258">
        <v>45274</v>
      </c>
      <c r="C423" s="227" t="s">
        <v>1809</v>
      </c>
      <c r="D423" s="228" t="s">
        <v>1578</v>
      </c>
      <c r="E423" s="229" t="s">
        <v>1275</v>
      </c>
      <c r="F423" s="259">
        <v>1568000</v>
      </c>
    </row>
    <row r="424" spans="2:6" x14ac:dyDescent="0.25">
      <c r="B424" s="258">
        <v>45071</v>
      </c>
      <c r="C424" s="227" t="s">
        <v>1584</v>
      </c>
      <c r="D424" s="228" t="s">
        <v>1582</v>
      </c>
      <c r="E424" s="229" t="s">
        <v>1279</v>
      </c>
      <c r="F424" s="259">
        <v>84960</v>
      </c>
    </row>
    <row r="425" spans="2:6" x14ac:dyDescent="0.25">
      <c r="B425" s="258">
        <v>45244</v>
      </c>
      <c r="C425" s="227" t="s">
        <v>2013</v>
      </c>
      <c r="D425" s="228" t="s">
        <v>1582</v>
      </c>
      <c r="E425" s="229" t="s">
        <v>2038</v>
      </c>
      <c r="F425" s="259">
        <v>184004.71</v>
      </c>
    </row>
    <row r="426" spans="2:6" x14ac:dyDescent="0.25">
      <c r="B426" s="261">
        <v>44876</v>
      </c>
      <c r="C426" s="227" t="s">
        <v>1585</v>
      </c>
      <c r="D426" s="228" t="s">
        <v>1586</v>
      </c>
      <c r="E426" s="229" t="s">
        <v>1587</v>
      </c>
      <c r="F426" s="259">
        <v>695857.8</v>
      </c>
    </row>
    <row r="427" spans="2:6" x14ac:dyDescent="0.25">
      <c r="B427" s="258">
        <v>45077</v>
      </c>
      <c r="C427" s="227" t="s">
        <v>1336</v>
      </c>
      <c r="D427" s="228" t="s">
        <v>1586</v>
      </c>
      <c r="E427" s="229" t="s">
        <v>1279</v>
      </c>
      <c r="F427" s="259">
        <v>294488.34999999998</v>
      </c>
    </row>
    <row r="428" spans="2:6" x14ac:dyDescent="0.25">
      <c r="B428" s="258">
        <v>45106</v>
      </c>
      <c r="C428" s="227" t="s">
        <v>1588</v>
      </c>
      <c r="D428" s="228" t="s">
        <v>1586</v>
      </c>
      <c r="E428" s="229" t="s">
        <v>1279</v>
      </c>
      <c r="F428" s="259">
        <v>1298118</v>
      </c>
    </row>
    <row r="429" spans="2:6" x14ac:dyDescent="0.25">
      <c r="B429" s="258">
        <v>45106</v>
      </c>
      <c r="C429" s="227" t="s">
        <v>1589</v>
      </c>
      <c r="D429" s="228" t="s">
        <v>1586</v>
      </c>
      <c r="E429" s="229" t="s">
        <v>1279</v>
      </c>
      <c r="F429" s="259">
        <v>247800</v>
      </c>
    </row>
    <row r="430" spans="2:6" x14ac:dyDescent="0.25">
      <c r="B430" s="258">
        <v>45110</v>
      </c>
      <c r="C430" s="227" t="s">
        <v>1590</v>
      </c>
      <c r="D430" s="228" t="s">
        <v>1586</v>
      </c>
      <c r="E430" s="229" t="s">
        <v>1279</v>
      </c>
      <c r="F430" s="259">
        <v>247800</v>
      </c>
    </row>
    <row r="431" spans="2:6" x14ac:dyDescent="0.25">
      <c r="B431" s="258">
        <v>45119</v>
      </c>
      <c r="C431" s="227" t="s">
        <v>1591</v>
      </c>
      <c r="D431" s="228" t="s">
        <v>1586</v>
      </c>
      <c r="E431" s="229" t="s">
        <v>1279</v>
      </c>
      <c r="F431" s="259">
        <v>110660.4</v>
      </c>
    </row>
    <row r="432" spans="2:6" x14ac:dyDescent="0.25">
      <c r="B432" s="258">
        <v>45135</v>
      </c>
      <c r="C432" s="227" t="s">
        <v>1592</v>
      </c>
      <c r="D432" s="228" t="s">
        <v>1586</v>
      </c>
      <c r="E432" s="229" t="s">
        <v>1279</v>
      </c>
      <c r="F432" s="259">
        <v>13452</v>
      </c>
    </row>
    <row r="433" spans="2:6" x14ac:dyDescent="0.25">
      <c r="B433" s="258">
        <v>45168</v>
      </c>
      <c r="C433" s="227" t="s">
        <v>1593</v>
      </c>
      <c r="D433" s="228" t="s">
        <v>1586</v>
      </c>
      <c r="E433" s="229" t="s">
        <v>1279</v>
      </c>
      <c r="F433" s="259">
        <v>1190502</v>
      </c>
    </row>
    <row r="434" spans="2:6" x14ac:dyDescent="0.25">
      <c r="B434" s="258">
        <v>45169</v>
      </c>
      <c r="C434" s="227" t="s">
        <v>1594</v>
      </c>
      <c r="D434" s="228" t="s">
        <v>1586</v>
      </c>
      <c r="E434" s="229" t="s">
        <v>1316</v>
      </c>
      <c r="F434" s="259">
        <v>1423541.44</v>
      </c>
    </row>
    <row r="435" spans="2:6" x14ac:dyDescent="0.25">
      <c r="B435" s="258">
        <v>45176</v>
      </c>
      <c r="C435" s="227" t="s">
        <v>1595</v>
      </c>
      <c r="D435" s="228" t="s">
        <v>1586</v>
      </c>
      <c r="E435" s="229" t="s">
        <v>1583</v>
      </c>
      <c r="F435" s="259">
        <v>89549.96</v>
      </c>
    </row>
    <row r="436" spans="2:6" x14ac:dyDescent="0.25">
      <c r="B436" s="258">
        <v>45247</v>
      </c>
      <c r="C436" s="227" t="s">
        <v>1782</v>
      </c>
      <c r="D436" s="228" t="s">
        <v>1586</v>
      </c>
      <c r="E436" s="229" t="s">
        <v>1279</v>
      </c>
      <c r="F436" s="259">
        <v>56498.400000000001</v>
      </c>
    </row>
    <row r="437" spans="2:6" x14ac:dyDescent="0.25">
      <c r="B437" s="258">
        <v>45251</v>
      </c>
      <c r="C437" s="227" t="s">
        <v>2119</v>
      </c>
      <c r="D437" s="228" t="s">
        <v>1586</v>
      </c>
      <c r="E437" s="229" t="s">
        <v>1279</v>
      </c>
      <c r="F437" s="259">
        <v>1001703.83</v>
      </c>
    </row>
    <row r="438" spans="2:6" x14ac:dyDescent="0.25">
      <c r="B438" s="258">
        <v>45257</v>
      </c>
      <c r="C438" s="227" t="s">
        <v>1828</v>
      </c>
      <c r="D438" s="228" t="s">
        <v>1586</v>
      </c>
      <c r="E438" s="229" t="s">
        <v>1279</v>
      </c>
      <c r="F438" s="259">
        <v>64569.599999999999</v>
      </c>
    </row>
    <row r="439" spans="2:6" x14ac:dyDescent="0.25">
      <c r="B439" s="258">
        <v>44475</v>
      </c>
      <c r="C439" s="231" t="s">
        <v>1596</v>
      </c>
      <c r="D439" s="228" t="s">
        <v>2120</v>
      </c>
      <c r="E439" s="229" t="s">
        <v>1421</v>
      </c>
      <c r="F439" s="259">
        <v>127440</v>
      </c>
    </row>
    <row r="440" spans="2:6" x14ac:dyDescent="0.25">
      <c r="B440" s="258">
        <v>44508</v>
      </c>
      <c r="C440" s="231" t="s">
        <v>1597</v>
      </c>
      <c r="D440" s="228" t="s">
        <v>2120</v>
      </c>
      <c r="E440" s="229" t="s">
        <v>1421</v>
      </c>
      <c r="F440" s="259">
        <v>191160</v>
      </c>
    </row>
    <row r="441" spans="2:6" x14ac:dyDescent="0.25">
      <c r="B441" s="258">
        <v>44614</v>
      </c>
      <c r="C441" s="231" t="s">
        <v>1598</v>
      </c>
      <c r="D441" s="228" t="s">
        <v>2120</v>
      </c>
      <c r="E441" s="229" t="s">
        <v>1421</v>
      </c>
      <c r="F441" s="259">
        <v>51400.2</v>
      </c>
    </row>
    <row r="442" spans="2:6" x14ac:dyDescent="0.25">
      <c r="B442" s="258">
        <v>44616</v>
      </c>
      <c r="C442" s="231" t="s">
        <v>1599</v>
      </c>
      <c r="D442" s="228" t="s">
        <v>2120</v>
      </c>
      <c r="E442" s="229" t="s">
        <v>1421</v>
      </c>
      <c r="F442" s="259">
        <v>39506.400000000001</v>
      </c>
    </row>
    <row r="443" spans="2:6" x14ac:dyDescent="0.25">
      <c r="B443" s="258">
        <v>44616</v>
      </c>
      <c r="C443" s="231" t="s">
        <v>1600</v>
      </c>
      <c r="D443" s="228" t="s">
        <v>2120</v>
      </c>
      <c r="E443" s="229" t="s">
        <v>1421</v>
      </c>
      <c r="F443" s="259">
        <v>672706.2</v>
      </c>
    </row>
    <row r="444" spans="2:6" x14ac:dyDescent="0.25">
      <c r="B444" s="261">
        <v>44831</v>
      </c>
      <c r="C444" s="227" t="s">
        <v>1601</v>
      </c>
      <c r="D444" s="228" t="s">
        <v>2120</v>
      </c>
      <c r="E444" s="229" t="s">
        <v>1316</v>
      </c>
      <c r="F444" s="259">
        <v>54870</v>
      </c>
    </row>
    <row r="445" spans="2:6" x14ac:dyDescent="0.25">
      <c r="B445" s="258">
        <v>45091</v>
      </c>
      <c r="C445" s="227" t="s">
        <v>1602</v>
      </c>
      <c r="D445" s="228" t="s">
        <v>2120</v>
      </c>
      <c r="E445" s="229" t="s">
        <v>1279</v>
      </c>
      <c r="F445" s="259">
        <v>484319.2</v>
      </c>
    </row>
    <row r="446" spans="2:6" x14ac:dyDescent="0.25">
      <c r="B446" s="258">
        <v>45124</v>
      </c>
      <c r="C446" s="227" t="s">
        <v>1603</v>
      </c>
      <c r="D446" s="228" t="s">
        <v>2120</v>
      </c>
      <c r="E446" s="229" t="s">
        <v>1279</v>
      </c>
      <c r="F446" s="259">
        <v>111934.8</v>
      </c>
    </row>
    <row r="447" spans="2:6" x14ac:dyDescent="0.25">
      <c r="B447" s="258">
        <v>45174</v>
      </c>
      <c r="C447" s="227" t="s">
        <v>1604</v>
      </c>
      <c r="D447" s="228" t="s">
        <v>2120</v>
      </c>
      <c r="E447" s="229" t="s">
        <v>1275</v>
      </c>
      <c r="F447" s="259">
        <v>472000</v>
      </c>
    </row>
    <row r="448" spans="2:6" x14ac:dyDescent="0.25">
      <c r="B448" s="258">
        <v>45180</v>
      </c>
      <c r="C448" s="227" t="s">
        <v>1605</v>
      </c>
      <c r="D448" s="228" t="s">
        <v>2120</v>
      </c>
      <c r="E448" s="229" t="s">
        <v>1275</v>
      </c>
      <c r="F448" s="259">
        <v>440000</v>
      </c>
    </row>
    <row r="449" spans="2:6" x14ac:dyDescent="0.25">
      <c r="B449" s="258">
        <v>45187</v>
      </c>
      <c r="C449" s="227" t="s">
        <v>1606</v>
      </c>
      <c r="D449" s="228" t="s">
        <v>2120</v>
      </c>
      <c r="E449" s="229" t="s">
        <v>1263</v>
      </c>
      <c r="F449" s="259">
        <v>440000</v>
      </c>
    </row>
    <row r="450" spans="2:6" x14ac:dyDescent="0.25">
      <c r="B450" s="258">
        <v>45187</v>
      </c>
      <c r="C450" s="227" t="s">
        <v>1607</v>
      </c>
      <c r="D450" s="228" t="s">
        <v>2120</v>
      </c>
      <c r="E450" s="229" t="s">
        <v>1263</v>
      </c>
      <c r="F450" s="259">
        <v>472000</v>
      </c>
    </row>
    <row r="451" spans="2:6" x14ac:dyDescent="0.25">
      <c r="B451" s="258">
        <v>45187</v>
      </c>
      <c r="C451" s="227" t="s">
        <v>1608</v>
      </c>
      <c r="D451" s="228" t="s">
        <v>2120</v>
      </c>
      <c r="E451" s="229" t="s">
        <v>1279</v>
      </c>
      <c r="F451" s="259">
        <v>395064</v>
      </c>
    </row>
    <row r="452" spans="2:6" x14ac:dyDescent="0.25">
      <c r="B452" s="258">
        <v>45203</v>
      </c>
      <c r="C452" s="227" t="s">
        <v>2121</v>
      </c>
      <c r="D452" s="228" t="s">
        <v>2120</v>
      </c>
      <c r="E452" s="229" t="s">
        <v>1275</v>
      </c>
      <c r="F452" s="259">
        <v>660000</v>
      </c>
    </row>
    <row r="453" spans="2:6" x14ac:dyDescent="0.25">
      <c r="B453" s="258">
        <v>45203</v>
      </c>
      <c r="C453" s="227" t="s">
        <v>2122</v>
      </c>
      <c r="D453" s="228" t="s">
        <v>2120</v>
      </c>
      <c r="E453" s="229" t="s">
        <v>1279</v>
      </c>
      <c r="F453" s="259">
        <v>550403.16</v>
      </c>
    </row>
    <row r="454" spans="2:6" x14ac:dyDescent="0.25">
      <c r="B454" s="258">
        <v>45203</v>
      </c>
      <c r="C454" s="227" t="s">
        <v>2123</v>
      </c>
      <c r="D454" s="228" t="s">
        <v>2120</v>
      </c>
      <c r="E454" s="229" t="s">
        <v>1275</v>
      </c>
      <c r="F454" s="259">
        <v>472000</v>
      </c>
    </row>
    <row r="455" spans="2:6" x14ac:dyDescent="0.25">
      <c r="B455" s="258">
        <v>45230</v>
      </c>
      <c r="C455" s="227" t="s">
        <v>2124</v>
      </c>
      <c r="D455" s="228" t="s">
        <v>2120</v>
      </c>
      <c r="E455" s="229" t="s">
        <v>1275</v>
      </c>
      <c r="F455" s="259">
        <v>172140</v>
      </c>
    </row>
    <row r="456" spans="2:6" x14ac:dyDescent="0.25">
      <c r="B456" s="258">
        <v>45239</v>
      </c>
      <c r="C456" s="227" t="s">
        <v>2125</v>
      </c>
      <c r="D456" s="228" t="s">
        <v>2120</v>
      </c>
      <c r="E456" s="229" t="s">
        <v>1414</v>
      </c>
      <c r="F456" s="259">
        <v>1416000</v>
      </c>
    </row>
    <row r="457" spans="2:6" x14ac:dyDescent="0.25">
      <c r="B457" s="258">
        <v>45257</v>
      </c>
      <c r="C457" s="227" t="s">
        <v>2126</v>
      </c>
      <c r="D457" s="228" t="s">
        <v>2120</v>
      </c>
      <c r="E457" s="229" t="s">
        <v>1275</v>
      </c>
      <c r="F457" s="259">
        <v>661200</v>
      </c>
    </row>
    <row r="458" spans="2:6" x14ac:dyDescent="0.25">
      <c r="B458" s="258">
        <v>45257</v>
      </c>
      <c r="C458" s="227" t="s">
        <v>2127</v>
      </c>
      <c r="D458" s="228" t="s">
        <v>2120</v>
      </c>
      <c r="E458" s="229" t="s">
        <v>1279</v>
      </c>
      <c r="F458" s="259">
        <v>245115.5</v>
      </c>
    </row>
    <row r="459" spans="2:6" x14ac:dyDescent="0.25">
      <c r="B459" s="258">
        <v>45257</v>
      </c>
      <c r="C459" s="227" t="s">
        <v>2128</v>
      </c>
      <c r="D459" s="228" t="s">
        <v>2120</v>
      </c>
      <c r="E459" s="229" t="s">
        <v>1263</v>
      </c>
      <c r="F459" s="259">
        <v>111600</v>
      </c>
    </row>
    <row r="460" spans="2:6" x14ac:dyDescent="0.25">
      <c r="B460" s="258">
        <v>45267</v>
      </c>
      <c r="C460" s="227" t="s">
        <v>2312</v>
      </c>
      <c r="D460" s="228" t="s">
        <v>2120</v>
      </c>
      <c r="E460" s="229" t="s">
        <v>1587</v>
      </c>
      <c r="F460" s="259">
        <v>714336.6</v>
      </c>
    </row>
    <row r="461" spans="2:6" x14ac:dyDescent="0.25">
      <c r="B461" s="258">
        <v>45267</v>
      </c>
      <c r="C461" s="227" t="s">
        <v>2313</v>
      </c>
      <c r="D461" s="228" t="s">
        <v>2120</v>
      </c>
      <c r="E461" s="229" t="s">
        <v>1275</v>
      </c>
      <c r="F461" s="259">
        <v>881600</v>
      </c>
    </row>
    <row r="462" spans="2:6" x14ac:dyDescent="0.25">
      <c r="B462" s="258">
        <v>45267</v>
      </c>
      <c r="C462" s="227" t="s">
        <v>2314</v>
      </c>
      <c r="D462" s="228" t="s">
        <v>2120</v>
      </c>
      <c r="E462" s="229" t="s">
        <v>1275</v>
      </c>
      <c r="F462" s="259">
        <v>148800</v>
      </c>
    </row>
    <row r="463" spans="2:6" x14ac:dyDescent="0.25">
      <c r="B463" s="258">
        <v>45268</v>
      </c>
      <c r="C463" s="227" t="s">
        <v>2315</v>
      </c>
      <c r="D463" s="228" t="s">
        <v>2120</v>
      </c>
      <c r="E463" s="229" t="s">
        <v>1263</v>
      </c>
      <c r="F463" s="259">
        <v>28800</v>
      </c>
    </row>
    <row r="464" spans="2:6" x14ac:dyDescent="0.25">
      <c r="B464" s="258">
        <v>45268</v>
      </c>
      <c r="C464" s="227" t="s">
        <v>2316</v>
      </c>
      <c r="D464" s="228" t="s">
        <v>2120</v>
      </c>
      <c r="E464" s="229" t="s">
        <v>1275</v>
      </c>
      <c r="F464" s="259">
        <v>398880</v>
      </c>
    </row>
    <row r="465" spans="2:6" x14ac:dyDescent="0.25">
      <c r="B465" s="258">
        <v>45148</v>
      </c>
      <c r="C465" s="227" t="s">
        <v>1373</v>
      </c>
      <c r="D465" s="228" t="s">
        <v>1609</v>
      </c>
      <c r="E465" s="229" t="s">
        <v>1275</v>
      </c>
      <c r="F465" s="259">
        <v>157924.79999999999</v>
      </c>
    </row>
    <row r="466" spans="2:6" x14ac:dyDescent="0.25">
      <c r="B466" s="258">
        <v>45280</v>
      </c>
      <c r="C466" s="227" t="s">
        <v>2317</v>
      </c>
      <c r="D466" s="228" t="s">
        <v>2318</v>
      </c>
      <c r="E466" s="229" t="s">
        <v>2319</v>
      </c>
      <c r="F466" s="259">
        <v>263894.83</v>
      </c>
    </row>
    <row r="467" spans="2:6" x14ac:dyDescent="0.25">
      <c r="B467" s="258">
        <v>45287</v>
      </c>
      <c r="C467" s="227" t="s">
        <v>2320</v>
      </c>
      <c r="D467" s="228" t="s">
        <v>2318</v>
      </c>
      <c r="E467" s="229" t="s">
        <v>2319</v>
      </c>
      <c r="F467" s="259">
        <v>122956</v>
      </c>
    </row>
    <row r="468" spans="2:6" x14ac:dyDescent="0.25">
      <c r="B468" s="258">
        <v>45288</v>
      </c>
      <c r="C468" s="227" t="s">
        <v>2321</v>
      </c>
      <c r="D468" s="228" t="s">
        <v>2318</v>
      </c>
      <c r="E468" s="229" t="s">
        <v>2319</v>
      </c>
      <c r="F468" s="259">
        <v>289890.69</v>
      </c>
    </row>
    <row r="469" spans="2:6" x14ac:dyDescent="0.25">
      <c r="B469" s="258">
        <v>45313</v>
      </c>
      <c r="C469" s="227" t="s">
        <v>1291</v>
      </c>
      <c r="D469" s="228" t="s">
        <v>2491</v>
      </c>
      <c r="E469" s="229" t="s">
        <v>1263</v>
      </c>
      <c r="F469" s="259">
        <v>63040</v>
      </c>
    </row>
    <row r="470" spans="2:6" x14ac:dyDescent="0.25">
      <c r="B470" s="258">
        <v>45315</v>
      </c>
      <c r="C470" s="227" t="s">
        <v>1292</v>
      </c>
      <c r="D470" s="228" t="s">
        <v>2491</v>
      </c>
      <c r="E470" s="229" t="s">
        <v>2098</v>
      </c>
      <c r="F470" s="259">
        <v>250460.9</v>
      </c>
    </row>
    <row r="471" spans="2:6" x14ac:dyDescent="0.25">
      <c r="B471" s="258">
        <v>45261</v>
      </c>
      <c r="C471" s="227" t="s">
        <v>2322</v>
      </c>
      <c r="D471" s="228" t="s">
        <v>2129</v>
      </c>
      <c r="E471" s="229" t="s">
        <v>2323</v>
      </c>
      <c r="F471" s="259">
        <v>41300</v>
      </c>
    </row>
    <row r="472" spans="2:6" x14ac:dyDescent="0.25">
      <c r="B472" s="258">
        <v>43206</v>
      </c>
      <c r="C472" s="231">
        <v>70</v>
      </c>
      <c r="D472" s="228" t="s">
        <v>1611</v>
      </c>
      <c r="E472" s="229" t="s">
        <v>1421</v>
      </c>
      <c r="F472" s="259">
        <v>93600</v>
      </c>
    </row>
    <row r="473" spans="2:6" x14ac:dyDescent="0.25">
      <c r="B473" s="258">
        <v>45148</v>
      </c>
      <c r="C473" s="227" t="s">
        <v>1612</v>
      </c>
      <c r="D473" s="228" t="s">
        <v>1613</v>
      </c>
      <c r="E473" s="229" t="s">
        <v>1275</v>
      </c>
      <c r="F473" s="259">
        <v>550000</v>
      </c>
    </row>
    <row r="474" spans="2:6" x14ac:dyDescent="0.25">
      <c r="B474" s="258">
        <v>45272</v>
      </c>
      <c r="C474" s="227" t="s">
        <v>2324</v>
      </c>
      <c r="D474" s="228" t="s">
        <v>1613</v>
      </c>
      <c r="E474" s="229" t="s">
        <v>1263</v>
      </c>
      <c r="F474" s="259">
        <v>180000</v>
      </c>
    </row>
    <row r="475" spans="2:6" x14ac:dyDescent="0.25">
      <c r="B475" s="258">
        <v>45273</v>
      </c>
      <c r="C475" s="227" t="s">
        <v>2325</v>
      </c>
      <c r="D475" s="228" t="s">
        <v>1613</v>
      </c>
      <c r="E475" s="229" t="s">
        <v>1275</v>
      </c>
      <c r="F475" s="259">
        <v>174000</v>
      </c>
    </row>
    <row r="476" spans="2:6" x14ac:dyDescent="0.25">
      <c r="B476" s="258">
        <v>44530</v>
      </c>
      <c r="C476" s="227" t="s">
        <v>1614</v>
      </c>
      <c r="D476" s="228" t="s">
        <v>1615</v>
      </c>
      <c r="E476" s="229" t="s">
        <v>1263</v>
      </c>
      <c r="F476" s="259">
        <v>877500</v>
      </c>
    </row>
    <row r="477" spans="2:6" x14ac:dyDescent="0.25">
      <c r="B477" s="258">
        <v>44615</v>
      </c>
      <c r="C477" s="231" t="s">
        <v>1616</v>
      </c>
      <c r="D477" s="228" t="s">
        <v>1615</v>
      </c>
      <c r="E477" s="229" t="s">
        <v>1263</v>
      </c>
      <c r="F477" s="259">
        <v>362500</v>
      </c>
    </row>
    <row r="478" spans="2:6" x14ac:dyDescent="0.25">
      <c r="B478" s="258">
        <v>44621</v>
      </c>
      <c r="C478" s="231" t="s">
        <v>1617</v>
      </c>
      <c r="D478" s="228" t="s">
        <v>1615</v>
      </c>
      <c r="E478" s="229" t="s">
        <v>1263</v>
      </c>
      <c r="F478" s="259">
        <v>645000</v>
      </c>
    </row>
    <row r="479" spans="2:6" x14ac:dyDescent="0.25">
      <c r="B479" s="258">
        <v>45043</v>
      </c>
      <c r="C479" s="227" t="s">
        <v>1618</v>
      </c>
      <c r="D479" s="228" t="s">
        <v>1615</v>
      </c>
      <c r="E479" s="229" t="s">
        <v>1263</v>
      </c>
      <c r="F479" s="259">
        <v>245445</v>
      </c>
    </row>
    <row r="480" spans="2:6" x14ac:dyDescent="0.25">
      <c r="B480" s="258">
        <v>45162</v>
      </c>
      <c r="C480" s="227" t="s">
        <v>1619</v>
      </c>
      <c r="D480" s="228" t="s">
        <v>1615</v>
      </c>
      <c r="E480" s="229" t="s">
        <v>1263</v>
      </c>
      <c r="F480" s="259">
        <v>400000</v>
      </c>
    </row>
    <row r="481" spans="2:6" x14ac:dyDescent="0.25">
      <c r="B481" s="258">
        <v>45177</v>
      </c>
      <c r="C481" s="227" t="s">
        <v>1620</v>
      </c>
      <c r="D481" s="228" t="s">
        <v>1615</v>
      </c>
      <c r="E481" s="229" t="s">
        <v>1275</v>
      </c>
      <c r="F481" s="259">
        <v>72000</v>
      </c>
    </row>
    <row r="482" spans="2:6" x14ac:dyDescent="0.25">
      <c r="B482" s="258">
        <v>45226</v>
      </c>
      <c r="C482" s="227" t="s">
        <v>2130</v>
      </c>
      <c r="D482" s="228" t="s">
        <v>1615</v>
      </c>
      <c r="E482" s="229" t="s">
        <v>1275</v>
      </c>
      <c r="F482" s="259">
        <v>145000</v>
      </c>
    </row>
    <row r="483" spans="2:6" x14ac:dyDescent="0.25">
      <c r="B483" s="258">
        <v>45231</v>
      </c>
      <c r="C483" s="227" t="s">
        <v>2131</v>
      </c>
      <c r="D483" s="228" t="s">
        <v>1615</v>
      </c>
      <c r="E483" s="229" t="s">
        <v>1263</v>
      </c>
      <c r="F483" s="259">
        <v>21000</v>
      </c>
    </row>
    <row r="484" spans="2:6" x14ac:dyDescent="0.25">
      <c r="B484" s="258">
        <v>45230</v>
      </c>
      <c r="C484" s="227" t="s">
        <v>2132</v>
      </c>
      <c r="D484" s="228" t="s">
        <v>2133</v>
      </c>
      <c r="E484" s="229" t="s">
        <v>2134</v>
      </c>
      <c r="F484" s="259">
        <v>189920.03</v>
      </c>
    </row>
    <row r="485" spans="2:6" x14ac:dyDescent="0.25">
      <c r="B485" s="258">
        <v>45026</v>
      </c>
      <c r="C485" s="227" t="s">
        <v>1621</v>
      </c>
      <c r="D485" s="228" t="s">
        <v>1622</v>
      </c>
      <c r="E485" s="229" t="s">
        <v>1279</v>
      </c>
      <c r="F485" s="259">
        <v>686400.01</v>
      </c>
    </row>
    <row r="486" spans="2:6" x14ac:dyDescent="0.25">
      <c r="B486" s="258">
        <v>45082</v>
      </c>
      <c r="C486" s="227" t="s">
        <v>1623</v>
      </c>
      <c r="D486" s="228" t="s">
        <v>1622</v>
      </c>
      <c r="E486" s="229" t="s">
        <v>1279</v>
      </c>
      <c r="F486" s="259">
        <v>44599.98</v>
      </c>
    </row>
    <row r="487" spans="2:6" x14ac:dyDescent="0.25">
      <c r="B487" s="258">
        <v>45093</v>
      </c>
      <c r="C487" s="227" t="s">
        <v>1624</v>
      </c>
      <c r="D487" s="228" t="s">
        <v>1622</v>
      </c>
      <c r="E487" s="229" t="s">
        <v>1625</v>
      </c>
      <c r="F487" s="259">
        <v>188210</v>
      </c>
    </row>
    <row r="488" spans="2:6" x14ac:dyDescent="0.25">
      <c r="B488" s="258">
        <v>45183</v>
      </c>
      <c r="C488" s="227" t="s">
        <v>1626</v>
      </c>
      <c r="D488" s="228" t="s">
        <v>1622</v>
      </c>
      <c r="E488" s="229" t="s">
        <v>1279</v>
      </c>
      <c r="F488" s="259">
        <v>18750.2</v>
      </c>
    </row>
    <row r="489" spans="2:6" x14ac:dyDescent="0.25">
      <c r="B489" s="258">
        <v>45238</v>
      </c>
      <c r="C489" s="227" t="s">
        <v>2135</v>
      </c>
      <c r="D489" s="228" t="s">
        <v>1622</v>
      </c>
      <c r="E489" s="229" t="s">
        <v>1279</v>
      </c>
      <c r="F489" s="259">
        <v>629130</v>
      </c>
    </row>
    <row r="490" spans="2:6" x14ac:dyDescent="0.25">
      <c r="B490" s="258">
        <v>45257</v>
      </c>
      <c r="C490" s="227" t="s">
        <v>2136</v>
      </c>
      <c r="D490" s="228" t="s">
        <v>2137</v>
      </c>
      <c r="E490" s="229" t="s">
        <v>1279</v>
      </c>
      <c r="F490" s="259">
        <v>9786065</v>
      </c>
    </row>
    <row r="491" spans="2:6" x14ac:dyDescent="0.25">
      <c r="B491" s="258">
        <v>45267</v>
      </c>
      <c r="C491" s="227" t="s">
        <v>2326</v>
      </c>
      <c r="D491" s="228" t="s">
        <v>1622</v>
      </c>
      <c r="E491" s="229" t="s">
        <v>1279</v>
      </c>
      <c r="F491" s="259">
        <v>144630.01</v>
      </c>
    </row>
    <row r="492" spans="2:6" x14ac:dyDescent="0.25">
      <c r="B492" s="258">
        <v>45280</v>
      </c>
      <c r="C492" s="227" t="s">
        <v>2327</v>
      </c>
      <c r="D492" s="228" t="s">
        <v>1622</v>
      </c>
      <c r="E492" s="229" t="s">
        <v>2328</v>
      </c>
      <c r="F492" s="259">
        <v>114259.99</v>
      </c>
    </row>
    <row r="493" spans="2:6" x14ac:dyDescent="0.25">
      <c r="B493" s="258">
        <v>44719</v>
      </c>
      <c r="C493" s="231" t="s">
        <v>1627</v>
      </c>
      <c r="D493" s="228" t="s">
        <v>1628</v>
      </c>
      <c r="E493" s="232" t="s">
        <v>1263</v>
      </c>
      <c r="F493" s="260">
        <v>178704</v>
      </c>
    </row>
    <row r="494" spans="2:6" x14ac:dyDescent="0.25">
      <c r="B494" s="258">
        <v>44749</v>
      </c>
      <c r="C494" s="231" t="s">
        <v>1629</v>
      </c>
      <c r="D494" s="228" t="s">
        <v>1628</v>
      </c>
      <c r="E494" s="232" t="s">
        <v>1263</v>
      </c>
      <c r="F494" s="260">
        <v>118368</v>
      </c>
    </row>
    <row r="495" spans="2:6" x14ac:dyDescent="0.25">
      <c r="B495" s="258">
        <v>44761</v>
      </c>
      <c r="C495" s="231" t="s">
        <v>1630</v>
      </c>
      <c r="D495" s="228" t="s">
        <v>1628</v>
      </c>
      <c r="E495" s="232" t="s">
        <v>1414</v>
      </c>
      <c r="F495" s="260">
        <v>678892.5</v>
      </c>
    </row>
    <row r="496" spans="2:6" x14ac:dyDescent="0.25">
      <c r="B496" s="258">
        <v>44761</v>
      </c>
      <c r="C496" s="231" t="s">
        <v>1631</v>
      </c>
      <c r="D496" s="228" t="s">
        <v>1628</v>
      </c>
      <c r="E496" s="232" t="s">
        <v>1263</v>
      </c>
      <c r="F496" s="260">
        <v>1860</v>
      </c>
    </row>
    <row r="497" spans="2:6" x14ac:dyDescent="0.25">
      <c r="B497" s="258">
        <v>44782</v>
      </c>
      <c r="C497" s="231" t="s">
        <v>1632</v>
      </c>
      <c r="D497" s="228" t="s">
        <v>1628</v>
      </c>
      <c r="E497" s="232" t="s">
        <v>1263</v>
      </c>
      <c r="F497" s="260">
        <v>58860</v>
      </c>
    </row>
    <row r="498" spans="2:6" x14ac:dyDescent="0.25">
      <c r="B498" s="261">
        <v>44810</v>
      </c>
      <c r="C498" s="227" t="s">
        <v>1633</v>
      </c>
      <c r="D498" s="228" t="s">
        <v>1628</v>
      </c>
      <c r="E498" s="229" t="s">
        <v>1263</v>
      </c>
      <c r="F498" s="259">
        <v>27216</v>
      </c>
    </row>
    <row r="499" spans="2:6" x14ac:dyDescent="0.25">
      <c r="B499" s="261">
        <v>44825</v>
      </c>
      <c r="C499" s="227" t="s">
        <v>1634</v>
      </c>
      <c r="D499" s="228" t="s">
        <v>1628</v>
      </c>
      <c r="E499" s="229" t="s">
        <v>1263</v>
      </c>
      <c r="F499" s="259">
        <v>2418</v>
      </c>
    </row>
    <row r="500" spans="2:6" x14ac:dyDescent="0.25">
      <c r="B500" s="261">
        <v>44825</v>
      </c>
      <c r="C500" s="227" t="s">
        <v>1635</v>
      </c>
      <c r="D500" s="228" t="s">
        <v>1628</v>
      </c>
      <c r="E500" s="229" t="s">
        <v>1279</v>
      </c>
      <c r="F500" s="259">
        <v>419722.4</v>
      </c>
    </row>
    <row r="501" spans="2:6" x14ac:dyDescent="0.25">
      <c r="B501" s="261">
        <v>44852</v>
      </c>
      <c r="C501" s="227" t="s">
        <v>1636</v>
      </c>
      <c r="D501" s="228" t="s">
        <v>1628</v>
      </c>
      <c r="E501" s="229" t="s">
        <v>1279</v>
      </c>
      <c r="F501" s="259">
        <v>484503</v>
      </c>
    </row>
    <row r="502" spans="2:6" x14ac:dyDescent="0.25">
      <c r="B502" s="258">
        <v>45237</v>
      </c>
      <c r="C502" s="227" t="s">
        <v>2138</v>
      </c>
      <c r="D502" s="228" t="s">
        <v>2139</v>
      </c>
      <c r="E502" s="229" t="s">
        <v>2140</v>
      </c>
      <c r="F502" s="259">
        <v>116081.56</v>
      </c>
    </row>
    <row r="503" spans="2:6" x14ac:dyDescent="0.25">
      <c r="B503" s="258">
        <v>45279</v>
      </c>
      <c r="C503" s="227" t="s">
        <v>1793</v>
      </c>
      <c r="D503" s="228" t="s">
        <v>2329</v>
      </c>
      <c r="E503" s="229" t="s">
        <v>2330</v>
      </c>
      <c r="F503" s="259">
        <v>92040</v>
      </c>
    </row>
    <row r="504" spans="2:6" x14ac:dyDescent="0.25">
      <c r="B504" s="258">
        <v>45240</v>
      </c>
      <c r="C504" s="227" t="s">
        <v>1411</v>
      </c>
      <c r="D504" s="228" t="s">
        <v>2141</v>
      </c>
      <c r="E504" s="229" t="s">
        <v>2016</v>
      </c>
      <c r="F504" s="259">
        <v>1528973.2</v>
      </c>
    </row>
    <row r="505" spans="2:6" x14ac:dyDescent="0.25">
      <c r="B505" s="261">
        <v>44859</v>
      </c>
      <c r="C505" s="227" t="s">
        <v>1637</v>
      </c>
      <c r="D505" s="228" t="s">
        <v>1638</v>
      </c>
      <c r="E505" s="232" t="s">
        <v>1279</v>
      </c>
      <c r="F505" s="259">
        <v>205320</v>
      </c>
    </row>
    <row r="506" spans="2:6" x14ac:dyDescent="0.25">
      <c r="B506" s="258">
        <v>45019</v>
      </c>
      <c r="C506" s="227" t="s">
        <v>1639</v>
      </c>
      <c r="D506" s="228" t="s">
        <v>1638</v>
      </c>
      <c r="E506" s="229" t="s">
        <v>1279</v>
      </c>
      <c r="F506" s="259">
        <v>424239.18</v>
      </c>
    </row>
    <row r="507" spans="2:6" x14ac:dyDescent="0.25">
      <c r="B507" s="258">
        <v>45020</v>
      </c>
      <c r="C507" s="227" t="s">
        <v>1640</v>
      </c>
      <c r="D507" s="228" t="s">
        <v>1638</v>
      </c>
      <c r="E507" s="229" t="s">
        <v>1279</v>
      </c>
      <c r="F507" s="259">
        <v>43220.45</v>
      </c>
    </row>
    <row r="508" spans="2:6" x14ac:dyDescent="0.25">
      <c r="B508" s="258">
        <v>45026</v>
      </c>
      <c r="C508" s="227" t="s">
        <v>1641</v>
      </c>
      <c r="D508" s="228" t="s">
        <v>1638</v>
      </c>
      <c r="E508" s="229" t="s">
        <v>1316</v>
      </c>
      <c r="F508" s="259">
        <v>1583534.04</v>
      </c>
    </row>
    <row r="509" spans="2:6" x14ac:dyDescent="0.25">
      <c r="B509" s="258">
        <v>45036</v>
      </c>
      <c r="C509" s="227" t="s">
        <v>1642</v>
      </c>
      <c r="D509" s="228" t="s">
        <v>1638</v>
      </c>
      <c r="E509" s="229" t="s">
        <v>1643</v>
      </c>
      <c r="F509" s="259">
        <v>89415.56</v>
      </c>
    </row>
    <row r="510" spans="2:6" x14ac:dyDescent="0.25">
      <c r="B510" s="258">
        <v>45040</v>
      </c>
      <c r="C510" s="227" t="s">
        <v>1644</v>
      </c>
      <c r="D510" s="228" t="s">
        <v>1638</v>
      </c>
      <c r="E510" s="229" t="s">
        <v>1645</v>
      </c>
      <c r="F510" s="259">
        <v>605376.81000000006</v>
      </c>
    </row>
    <row r="511" spans="2:6" x14ac:dyDescent="0.25">
      <c r="B511" s="258">
        <v>45041</v>
      </c>
      <c r="C511" s="227" t="s">
        <v>1646</v>
      </c>
      <c r="D511" s="228" t="s">
        <v>1638</v>
      </c>
      <c r="E511" s="229" t="s">
        <v>1279</v>
      </c>
      <c r="F511" s="259">
        <v>348100</v>
      </c>
    </row>
    <row r="512" spans="2:6" x14ac:dyDescent="0.25">
      <c r="B512" s="258">
        <v>45048</v>
      </c>
      <c r="C512" s="227" t="s">
        <v>1647</v>
      </c>
      <c r="D512" s="228" t="s">
        <v>1638</v>
      </c>
      <c r="E512" s="229" t="s">
        <v>1316</v>
      </c>
      <c r="F512" s="259">
        <v>926418</v>
      </c>
    </row>
    <row r="513" spans="2:6" x14ac:dyDescent="0.25">
      <c r="B513" s="258">
        <v>45054</v>
      </c>
      <c r="C513" s="227" t="s">
        <v>1649</v>
      </c>
      <c r="D513" s="228" t="s">
        <v>1638</v>
      </c>
      <c r="E513" s="229" t="s">
        <v>1279</v>
      </c>
      <c r="F513" s="259">
        <v>774463.5</v>
      </c>
    </row>
    <row r="514" spans="2:6" x14ac:dyDescent="0.25">
      <c r="B514" s="258">
        <v>45075</v>
      </c>
      <c r="C514" s="227" t="s">
        <v>1653</v>
      </c>
      <c r="D514" s="228" t="s">
        <v>1638</v>
      </c>
      <c r="E514" s="229" t="s">
        <v>1279</v>
      </c>
      <c r="F514" s="259">
        <v>1277706.57</v>
      </c>
    </row>
    <row r="515" spans="2:6" x14ac:dyDescent="0.25">
      <c r="B515" s="258">
        <v>45076</v>
      </c>
      <c r="C515" s="227" t="s">
        <v>1654</v>
      </c>
      <c r="D515" s="228" t="s">
        <v>1638</v>
      </c>
      <c r="E515" s="229" t="s">
        <v>1316</v>
      </c>
      <c r="F515" s="259">
        <v>1583534.04</v>
      </c>
    </row>
    <row r="516" spans="2:6" x14ac:dyDescent="0.25">
      <c r="B516" s="258">
        <v>45090</v>
      </c>
      <c r="C516" s="227" t="s">
        <v>1656</v>
      </c>
      <c r="D516" s="228" t="s">
        <v>1638</v>
      </c>
      <c r="E516" s="229" t="s">
        <v>1657</v>
      </c>
      <c r="F516" s="259">
        <v>37170</v>
      </c>
    </row>
    <row r="517" spans="2:6" x14ac:dyDescent="0.25">
      <c r="B517" s="258">
        <v>45090</v>
      </c>
      <c r="C517" s="227" t="s">
        <v>1658</v>
      </c>
      <c r="D517" s="228" t="s">
        <v>1638</v>
      </c>
      <c r="E517" s="229" t="s">
        <v>1279</v>
      </c>
      <c r="F517" s="259">
        <v>781396</v>
      </c>
    </row>
    <row r="518" spans="2:6" x14ac:dyDescent="0.25">
      <c r="B518" s="258">
        <v>45092</v>
      </c>
      <c r="C518" s="227" t="s">
        <v>1659</v>
      </c>
      <c r="D518" s="228" t="s">
        <v>1638</v>
      </c>
      <c r="E518" s="229" t="s">
        <v>1279</v>
      </c>
      <c r="F518" s="259">
        <v>166380</v>
      </c>
    </row>
    <row r="519" spans="2:6" x14ac:dyDescent="0.25">
      <c r="B519" s="258">
        <v>45097</v>
      </c>
      <c r="C519" s="227" t="s">
        <v>1660</v>
      </c>
      <c r="D519" s="228" t="s">
        <v>1638</v>
      </c>
      <c r="E519" s="229" t="s">
        <v>1279</v>
      </c>
      <c r="F519" s="259">
        <v>364030</v>
      </c>
    </row>
    <row r="520" spans="2:6" x14ac:dyDescent="0.25">
      <c r="B520" s="258">
        <v>45100</v>
      </c>
      <c r="C520" s="227" t="s">
        <v>1661</v>
      </c>
      <c r="D520" s="228" t="s">
        <v>1638</v>
      </c>
      <c r="E520" s="229" t="s">
        <v>1279</v>
      </c>
      <c r="F520" s="259">
        <v>584100</v>
      </c>
    </row>
    <row r="521" spans="2:6" x14ac:dyDescent="0.25">
      <c r="B521" s="258">
        <v>45104</v>
      </c>
      <c r="C521" s="227" t="s">
        <v>1662</v>
      </c>
      <c r="D521" s="228" t="s">
        <v>1638</v>
      </c>
      <c r="E521" s="229" t="s">
        <v>1279</v>
      </c>
      <c r="F521" s="259">
        <v>96369.13</v>
      </c>
    </row>
    <row r="522" spans="2:6" x14ac:dyDescent="0.25">
      <c r="B522" s="258">
        <v>45118</v>
      </c>
      <c r="C522" s="227" t="s">
        <v>2105</v>
      </c>
      <c r="D522" s="228" t="s">
        <v>1638</v>
      </c>
      <c r="E522" s="229" t="s">
        <v>1279</v>
      </c>
      <c r="F522" s="259">
        <v>1696253.16</v>
      </c>
    </row>
    <row r="523" spans="2:6" x14ac:dyDescent="0.25">
      <c r="B523" s="258">
        <v>45120</v>
      </c>
      <c r="C523" s="227" t="s">
        <v>1663</v>
      </c>
      <c r="D523" s="228" t="s">
        <v>1638</v>
      </c>
      <c r="E523" s="229" t="s">
        <v>1263</v>
      </c>
      <c r="F523" s="259">
        <v>124220</v>
      </c>
    </row>
    <row r="524" spans="2:6" x14ac:dyDescent="0.25">
      <c r="B524" s="258">
        <v>45126</v>
      </c>
      <c r="C524" s="227" t="s">
        <v>1664</v>
      </c>
      <c r="D524" s="228" t="s">
        <v>1638</v>
      </c>
      <c r="E524" s="229" t="s">
        <v>1279</v>
      </c>
      <c r="F524" s="259">
        <v>865756.56</v>
      </c>
    </row>
    <row r="525" spans="2:6" x14ac:dyDescent="0.25">
      <c r="B525" s="258">
        <v>45169</v>
      </c>
      <c r="C525" s="227" t="s">
        <v>1666</v>
      </c>
      <c r="D525" s="228" t="s">
        <v>1638</v>
      </c>
      <c r="E525" s="229" t="s">
        <v>1667</v>
      </c>
      <c r="F525" s="259">
        <v>394389.51</v>
      </c>
    </row>
    <row r="526" spans="2:6" x14ac:dyDescent="0.25">
      <c r="B526" s="258">
        <v>45169</v>
      </c>
      <c r="C526" s="227" t="s">
        <v>1668</v>
      </c>
      <c r="D526" s="228" t="s">
        <v>1638</v>
      </c>
      <c r="E526" s="229" t="s">
        <v>1669</v>
      </c>
      <c r="F526" s="259">
        <v>895260.55</v>
      </c>
    </row>
    <row r="527" spans="2:6" x14ac:dyDescent="0.25">
      <c r="B527" s="258">
        <v>45183</v>
      </c>
      <c r="C527" s="227" t="s">
        <v>1670</v>
      </c>
      <c r="D527" s="228" t="s">
        <v>1638</v>
      </c>
      <c r="E527" s="229" t="s">
        <v>1316</v>
      </c>
      <c r="F527" s="259">
        <v>549880</v>
      </c>
    </row>
    <row r="528" spans="2:6" x14ac:dyDescent="0.25">
      <c r="B528" s="258">
        <v>45187</v>
      </c>
      <c r="C528" s="227" t="s">
        <v>1671</v>
      </c>
      <c r="D528" s="228" t="s">
        <v>1638</v>
      </c>
      <c r="E528" s="229" t="s">
        <v>1610</v>
      </c>
      <c r="F528" s="259">
        <v>745986.56000000006</v>
      </c>
    </row>
    <row r="529" spans="2:6" x14ac:dyDescent="0.25">
      <c r="B529" s="258">
        <v>45188</v>
      </c>
      <c r="C529" s="227" t="s">
        <v>1672</v>
      </c>
      <c r="D529" s="228" t="s">
        <v>1638</v>
      </c>
      <c r="E529" s="229" t="s">
        <v>1610</v>
      </c>
      <c r="F529" s="259">
        <v>748070.68</v>
      </c>
    </row>
    <row r="530" spans="2:6" x14ac:dyDescent="0.25">
      <c r="B530" s="258">
        <v>45190</v>
      </c>
      <c r="C530" s="227" t="s">
        <v>1673</v>
      </c>
      <c r="D530" s="228" t="s">
        <v>1638</v>
      </c>
      <c r="E530" s="229" t="s">
        <v>1279</v>
      </c>
      <c r="F530" s="259">
        <v>1696253.16</v>
      </c>
    </row>
    <row r="531" spans="2:6" x14ac:dyDescent="0.25">
      <c r="B531" s="258">
        <v>45202</v>
      </c>
      <c r="C531" s="227" t="s">
        <v>2142</v>
      </c>
      <c r="D531" s="228" t="s">
        <v>1638</v>
      </c>
      <c r="E531" s="229" t="s">
        <v>1279</v>
      </c>
      <c r="F531" s="259">
        <v>511735</v>
      </c>
    </row>
    <row r="532" spans="2:6" x14ac:dyDescent="0.25">
      <c r="B532" s="258">
        <v>45210</v>
      </c>
      <c r="C532" s="227" t="s">
        <v>1556</v>
      </c>
      <c r="D532" s="228" t="s">
        <v>1638</v>
      </c>
      <c r="E532" s="229" t="s">
        <v>1279</v>
      </c>
      <c r="F532" s="259">
        <v>130791.2</v>
      </c>
    </row>
    <row r="533" spans="2:6" x14ac:dyDescent="0.25">
      <c r="B533" s="258">
        <v>45212</v>
      </c>
      <c r="C533" s="227" t="s">
        <v>2143</v>
      </c>
      <c r="D533" s="228" t="s">
        <v>1638</v>
      </c>
      <c r="E533" s="229" t="s">
        <v>1279</v>
      </c>
      <c r="F533" s="259">
        <v>1584966.56</v>
      </c>
    </row>
    <row r="534" spans="2:6" x14ac:dyDescent="0.25">
      <c r="B534" s="258">
        <v>45231</v>
      </c>
      <c r="C534" s="227" t="s">
        <v>1730</v>
      </c>
      <c r="D534" s="228" t="s">
        <v>1638</v>
      </c>
      <c r="E534" s="229" t="s">
        <v>1414</v>
      </c>
      <c r="F534" s="259">
        <v>40993.199999999997</v>
      </c>
    </row>
    <row r="535" spans="2:6" x14ac:dyDescent="0.25">
      <c r="B535" s="258">
        <v>45231</v>
      </c>
      <c r="C535" s="227" t="s">
        <v>1729</v>
      </c>
      <c r="D535" s="228" t="s">
        <v>1638</v>
      </c>
      <c r="E535" s="229" t="s">
        <v>1414</v>
      </c>
      <c r="F535" s="259">
        <v>1696253.16</v>
      </c>
    </row>
    <row r="536" spans="2:6" x14ac:dyDescent="0.25">
      <c r="B536" s="258">
        <v>45231</v>
      </c>
      <c r="C536" s="227" t="s">
        <v>2144</v>
      </c>
      <c r="D536" s="228" t="s">
        <v>1638</v>
      </c>
      <c r="E536" s="229" t="s">
        <v>1414</v>
      </c>
      <c r="F536" s="259">
        <v>6649.3</v>
      </c>
    </row>
    <row r="537" spans="2:6" x14ac:dyDescent="0.25">
      <c r="B537" s="258">
        <v>45231</v>
      </c>
      <c r="C537" s="227" t="s">
        <v>2145</v>
      </c>
      <c r="D537" s="228" t="s">
        <v>1638</v>
      </c>
      <c r="E537" s="229" t="s">
        <v>1414</v>
      </c>
      <c r="F537" s="259">
        <v>37276.199999999997</v>
      </c>
    </row>
    <row r="538" spans="2:6" x14ac:dyDescent="0.25">
      <c r="B538" s="258">
        <v>45237</v>
      </c>
      <c r="C538" s="227" t="s">
        <v>1727</v>
      </c>
      <c r="D538" s="228" t="s">
        <v>1638</v>
      </c>
      <c r="E538" s="229" t="s">
        <v>1414</v>
      </c>
      <c r="F538" s="259">
        <v>54204.480000000003</v>
      </c>
    </row>
    <row r="539" spans="2:6" x14ac:dyDescent="0.25">
      <c r="B539" s="258">
        <v>45237</v>
      </c>
      <c r="C539" s="227" t="s">
        <v>1725</v>
      </c>
      <c r="D539" s="228" t="s">
        <v>1638</v>
      </c>
      <c r="E539" s="229" t="s">
        <v>1414</v>
      </c>
      <c r="F539" s="259">
        <v>30939.599999999999</v>
      </c>
    </row>
    <row r="540" spans="2:6" x14ac:dyDescent="0.25">
      <c r="B540" s="258">
        <v>45237</v>
      </c>
      <c r="C540" s="227" t="s">
        <v>2146</v>
      </c>
      <c r="D540" s="228" t="s">
        <v>1638</v>
      </c>
      <c r="E540" s="229" t="s">
        <v>1414</v>
      </c>
      <c r="F540" s="259">
        <v>352525</v>
      </c>
    </row>
    <row r="541" spans="2:6" x14ac:dyDescent="0.25">
      <c r="B541" s="258">
        <v>45238</v>
      </c>
      <c r="C541" s="227" t="s">
        <v>1731</v>
      </c>
      <c r="D541" s="228" t="s">
        <v>1638</v>
      </c>
      <c r="E541" s="229" t="s">
        <v>1414</v>
      </c>
      <c r="F541" s="259">
        <v>109250</v>
      </c>
    </row>
    <row r="542" spans="2:6" x14ac:dyDescent="0.25">
      <c r="B542" s="258">
        <v>45244</v>
      </c>
      <c r="C542" s="227" t="s">
        <v>2147</v>
      </c>
      <c r="D542" s="228" t="s">
        <v>1638</v>
      </c>
      <c r="E542" s="229" t="s">
        <v>1279</v>
      </c>
      <c r="F542" s="259">
        <v>414180</v>
      </c>
    </row>
    <row r="543" spans="2:6" x14ac:dyDescent="0.25">
      <c r="B543" s="258">
        <v>45244</v>
      </c>
      <c r="C543" s="227" t="s">
        <v>2148</v>
      </c>
      <c r="D543" s="228" t="s">
        <v>1638</v>
      </c>
      <c r="E543" s="229" t="s">
        <v>1279</v>
      </c>
      <c r="F543" s="259">
        <v>136006.79999999999</v>
      </c>
    </row>
    <row r="544" spans="2:6" x14ac:dyDescent="0.25">
      <c r="B544" s="258">
        <v>45250</v>
      </c>
      <c r="C544" s="227" t="s">
        <v>2149</v>
      </c>
      <c r="D544" s="228" t="s">
        <v>1638</v>
      </c>
      <c r="E544" s="229" t="s">
        <v>2150</v>
      </c>
      <c r="F544" s="259">
        <v>125080</v>
      </c>
    </row>
    <row r="545" spans="2:6" x14ac:dyDescent="0.25">
      <c r="B545" s="258">
        <v>45250</v>
      </c>
      <c r="C545" s="227" t="s">
        <v>2151</v>
      </c>
      <c r="D545" s="228" t="s">
        <v>1638</v>
      </c>
      <c r="E545" s="229" t="s">
        <v>1445</v>
      </c>
      <c r="F545" s="259">
        <v>212400</v>
      </c>
    </row>
    <row r="546" spans="2:6" x14ac:dyDescent="0.25">
      <c r="B546" s="258">
        <v>45254</v>
      </c>
      <c r="C546" s="227" t="s">
        <v>2110</v>
      </c>
      <c r="D546" s="228" t="s">
        <v>1638</v>
      </c>
      <c r="E546" s="229" t="s">
        <v>1279</v>
      </c>
      <c r="F546" s="259">
        <v>1085364</v>
      </c>
    </row>
    <row r="547" spans="2:6" x14ac:dyDescent="0.25">
      <c r="B547" s="258">
        <v>45268</v>
      </c>
      <c r="C547" s="227" t="s">
        <v>2111</v>
      </c>
      <c r="D547" s="228" t="s">
        <v>1638</v>
      </c>
      <c r="E547" s="229" t="s">
        <v>1279</v>
      </c>
      <c r="F547" s="259">
        <v>1421919.23</v>
      </c>
    </row>
    <row r="548" spans="2:6" x14ac:dyDescent="0.25">
      <c r="B548" s="258">
        <v>45281</v>
      </c>
      <c r="C548" s="227" t="s">
        <v>2331</v>
      </c>
      <c r="D548" s="228" t="s">
        <v>1638</v>
      </c>
      <c r="E548" s="229" t="s">
        <v>1643</v>
      </c>
      <c r="F548" s="259">
        <v>89415.56</v>
      </c>
    </row>
    <row r="549" spans="2:6" x14ac:dyDescent="0.25">
      <c r="B549" s="258">
        <v>45309</v>
      </c>
      <c r="C549" s="227" t="s">
        <v>1739</v>
      </c>
      <c r="D549" s="228" t="s">
        <v>1638</v>
      </c>
      <c r="E549" s="229" t="s">
        <v>2492</v>
      </c>
      <c r="F549" s="259">
        <v>212400</v>
      </c>
    </row>
    <row r="550" spans="2:6" x14ac:dyDescent="0.25">
      <c r="B550" s="258">
        <v>45321</v>
      </c>
      <c r="C550" s="227" t="s">
        <v>1735</v>
      </c>
      <c r="D550" s="228" t="s">
        <v>1638</v>
      </c>
      <c r="E550" s="229" t="s">
        <v>1279</v>
      </c>
      <c r="F550" s="259">
        <v>248310.35</v>
      </c>
    </row>
    <row r="551" spans="2:6" x14ac:dyDescent="0.25">
      <c r="B551" s="258">
        <v>45069</v>
      </c>
      <c r="C551" s="227" t="s">
        <v>1660</v>
      </c>
      <c r="D551" s="228" t="s">
        <v>1674</v>
      </c>
      <c r="E551" s="229" t="s">
        <v>1676</v>
      </c>
      <c r="F551" s="259">
        <v>27346.78</v>
      </c>
    </row>
    <row r="552" spans="2:6" x14ac:dyDescent="0.25">
      <c r="B552" s="258">
        <v>45252</v>
      </c>
      <c r="C552" s="227" t="s">
        <v>2152</v>
      </c>
      <c r="D552" s="228" t="s">
        <v>1674</v>
      </c>
      <c r="E552" s="229" t="s">
        <v>2153</v>
      </c>
      <c r="F552" s="259">
        <v>204606.58</v>
      </c>
    </row>
    <row r="553" spans="2:6" x14ac:dyDescent="0.25">
      <c r="B553" s="258">
        <v>44454</v>
      </c>
      <c r="C553" s="227" t="s">
        <v>1677</v>
      </c>
      <c r="D553" s="228" t="s">
        <v>1678</v>
      </c>
      <c r="E553" s="229" t="s">
        <v>1307</v>
      </c>
      <c r="F553" s="259">
        <v>86765</v>
      </c>
    </row>
    <row r="554" spans="2:6" x14ac:dyDescent="0.25">
      <c r="B554" s="258">
        <v>44470</v>
      </c>
      <c r="C554" s="227" t="s">
        <v>1679</v>
      </c>
      <c r="D554" s="228" t="s">
        <v>1678</v>
      </c>
      <c r="E554" s="229" t="s">
        <v>1307</v>
      </c>
      <c r="F554" s="259">
        <v>85535</v>
      </c>
    </row>
    <row r="555" spans="2:6" x14ac:dyDescent="0.25">
      <c r="B555" s="258">
        <v>44484</v>
      </c>
      <c r="C555" s="227" t="s">
        <v>1680</v>
      </c>
      <c r="D555" s="228" t="s">
        <v>1678</v>
      </c>
      <c r="E555" s="229" t="s">
        <v>1307</v>
      </c>
      <c r="F555" s="259">
        <v>116110</v>
      </c>
    </row>
    <row r="556" spans="2:6" x14ac:dyDescent="0.25">
      <c r="B556" s="258">
        <v>44501</v>
      </c>
      <c r="C556" s="227" t="s">
        <v>1681</v>
      </c>
      <c r="D556" s="228" t="s">
        <v>1678</v>
      </c>
      <c r="E556" s="229" t="s">
        <v>1307</v>
      </c>
      <c r="F556" s="259">
        <v>101330</v>
      </c>
    </row>
    <row r="557" spans="2:6" x14ac:dyDescent="0.25">
      <c r="B557" s="258">
        <v>44515</v>
      </c>
      <c r="C557" s="227" t="s">
        <v>1682</v>
      </c>
      <c r="D557" s="228" t="s">
        <v>1678</v>
      </c>
      <c r="E557" s="229" t="s">
        <v>1307</v>
      </c>
      <c r="F557" s="259">
        <v>81800</v>
      </c>
    </row>
    <row r="558" spans="2:6" x14ac:dyDescent="0.25">
      <c r="B558" s="258">
        <v>44531</v>
      </c>
      <c r="C558" s="227" t="s">
        <v>1683</v>
      </c>
      <c r="D558" s="228" t="s">
        <v>1678</v>
      </c>
      <c r="E558" s="229" t="s">
        <v>1307</v>
      </c>
      <c r="F558" s="259">
        <v>79645</v>
      </c>
    </row>
    <row r="559" spans="2:6" x14ac:dyDescent="0.25">
      <c r="B559" s="258">
        <v>44545</v>
      </c>
      <c r="C559" s="227" t="s">
        <v>1684</v>
      </c>
      <c r="D559" s="228" t="s">
        <v>1678</v>
      </c>
      <c r="E559" s="229" t="s">
        <v>1307</v>
      </c>
      <c r="F559" s="259">
        <v>70450</v>
      </c>
    </row>
    <row r="560" spans="2:6" x14ac:dyDescent="0.25">
      <c r="B560" s="258">
        <v>44576</v>
      </c>
      <c r="C560" s="227" t="s">
        <v>1685</v>
      </c>
      <c r="D560" s="228" t="s">
        <v>1678</v>
      </c>
      <c r="E560" s="229" t="s">
        <v>1307</v>
      </c>
      <c r="F560" s="259">
        <v>64205</v>
      </c>
    </row>
    <row r="561" spans="2:6" x14ac:dyDescent="0.25">
      <c r="B561" s="258">
        <v>44593</v>
      </c>
      <c r="C561" s="227" t="s">
        <v>1686</v>
      </c>
      <c r="D561" s="228" t="s">
        <v>1678</v>
      </c>
      <c r="E561" s="229" t="s">
        <v>1307</v>
      </c>
      <c r="F561" s="259">
        <v>26795</v>
      </c>
    </row>
    <row r="562" spans="2:6" x14ac:dyDescent="0.25">
      <c r="B562" s="258">
        <v>44593</v>
      </c>
      <c r="C562" s="227" t="s">
        <v>1687</v>
      </c>
      <c r="D562" s="228" t="s">
        <v>1678</v>
      </c>
      <c r="E562" s="229" t="s">
        <v>1307</v>
      </c>
      <c r="F562" s="259">
        <v>53480</v>
      </c>
    </row>
    <row r="563" spans="2:6" x14ac:dyDescent="0.25">
      <c r="B563" s="258">
        <v>45107</v>
      </c>
      <c r="C563" s="227" t="s">
        <v>1688</v>
      </c>
      <c r="D563" s="228" t="s">
        <v>1689</v>
      </c>
      <c r="E563" s="229" t="s">
        <v>1279</v>
      </c>
      <c r="F563" s="259">
        <v>406510</v>
      </c>
    </row>
    <row r="564" spans="2:6" x14ac:dyDescent="0.25">
      <c r="B564" s="261">
        <v>44924</v>
      </c>
      <c r="C564" s="227" t="s">
        <v>1690</v>
      </c>
      <c r="D564" s="228" t="s">
        <v>1691</v>
      </c>
      <c r="E564" s="229" t="s">
        <v>1275</v>
      </c>
      <c r="F564" s="259">
        <v>72500</v>
      </c>
    </row>
    <row r="565" spans="2:6" x14ac:dyDescent="0.25">
      <c r="B565" s="258">
        <v>45253</v>
      </c>
      <c r="C565" s="227" t="s">
        <v>2154</v>
      </c>
      <c r="D565" s="228" t="s">
        <v>2155</v>
      </c>
      <c r="E565" s="229" t="s">
        <v>1692</v>
      </c>
      <c r="F565" s="259">
        <v>184530.37</v>
      </c>
    </row>
    <row r="566" spans="2:6" x14ac:dyDescent="0.25">
      <c r="B566" s="258">
        <v>45266</v>
      </c>
      <c r="C566" s="227" t="s">
        <v>2332</v>
      </c>
      <c r="D566" s="228" t="s">
        <v>2155</v>
      </c>
      <c r="E566" s="229" t="s">
        <v>2309</v>
      </c>
      <c r="F566" s="259">
        <v>12155.55</v>
      </c>
    </row>
    <row r="567" spans="2:6" x14ac:dyDescent="0.25">
      <c r="B567" s="258">
        <v>45302</v>
      </c>
      <c r="C567" s="227" t="s">
        <v>2493</v>
      </c>
      <c r="D567" s="228" t="s">
        <v>2494</v>
      </c>
      <c r="E567" s="229" t="s">
        <v>2495</v>
      </c>
      <c r="F567" s="259">
        <v>171808</v>
      </c>
    </row>
    <row r="568" spans="2:6" x14ac:dyDescent="0.25">
      <c r="B568" s="258">
        <v>45265</v>
      </c>
      <c r="C568" s="227" t="s">
        <v>2333</v>
      </c>
      <c r="D568" s="228" t="s">
        <v>2156</v>
      </c>
      <c r="E568" s="229" t="s">
        <v>1334</v>
      </c>
      <c r="F568" s="259">
        <v>48197.1</v>
      </c>
    </row>
    <row r="569" spans="2:6" x14ac:dyDescent="0.25">
      <c r="B569" s="258">
        <v>45274</v>
      </c>
      <c r="C569" s="227" t="s">
        <v>2334</v>
      </c>
      <c r="D569" s="228" t="s">
        <v>2156</v>
      </c>
      <c r="E569" s="229" t="s">
        <v>1367</v>
      </c>
      <c r="F569" s="259">
        <v>195647.54</v>
      </c>
    </row>
    <row r="570" spans="2:6" x14ac:dyDescent="0.25">
      <c r="B570" s="258">
        <v>45314</v>
      </c>
      <c r="C570" s="227" t="s">
        <v>2496</v>
      </c>
      <c r="D570" s="228" t="s">
        <v>2156</v>
      </c>
      <c r="E570" s="229" t="s">
        <v>2497</v>
      </c>
      <c r="F570" s="259">
        <v>93220</v>
      </c>
    </row>
    <row r="571" spans="2:6" x14ac:dyDescent="0.25">
      <c r="B571" s="258">
        <v>44777</v>
      </c>
      <c r="C571" s="231" t="s">
        <v>1693</v>
      </c>
      <c r="D571" s="228" t="s">
        <v>1694</v>
      </c>
      <c r="E571" s="232" t="s">
        <v>1263</v>
      </c>
      <c r="F571" s="260">
        <v>47500</v>
      </c>
    </row>
    <row r="572" spans="2:6" x14ac:dyDescent="0.25">
      <c r="B572" s="258">
        <v>45167</v>
      </c>
      <c r="C572" s="227" t="s">
        <v>1695</v>
      </c>
      <c r="D572" s="228" t="s">
        <v>1694</v>
      </c>
      <c r="E572" s="229" t="s">
        <v>1275</v>
      </c>
      <c r="F572" s="259">
        <v>237500</v>
      </c>
    </row>
    <row r="573" spans="2:6" x14ac:dyDescent="0.25">
      <c r="B573" s="258">
        <v>45244</v>
      </c>
      <c r="C573" s="227" t="s">
        <v>2159</v>
      </c>
      <c r="D573" s="228" t="s">
        <v>1694</v>
      </c>
      <c r="E573" s="229" t="s">
        <v>2032</v>
      </c>
      <c r="F573" s="259">
        <v>47500</v>
      </c>
    </row>
    <row r="574" spans="2:6" x14ac:dyDescent="0.25">
      <c r="B574" s="258">
        <v>45300</v>
      </c>
      <c r="C574" s="227" t="s">
        <v>2498</v>
      </c>
      <c r="D574" s="228" t="s">
        <v>1694</v>
      </c>
      <c r="E574" s="229" t="s">
        <v>1263</v>
      </c>
      <c r="F574" s="259">
        <v>190000</v>
      </c>
    </row>
    <row r="575" spans="2:6" x14ac:dyDescent="0.25">
      <c r="B575" s="258">
        <v>43840</v>
      </c>
      <c r="C575" s="227" t="s">
        <v>1545</v>
      </c>
      <c r="D575" s="228" t="s">
        <v>2160</v>
      </c>
      <c r="E575" s="229" t="s">
        <v>1263</v>
      </c>
      <c r="F575" s="259">
        <v>980000</v>
      </c>
    </row>
    <row r="576" spans="2:6" x14ac:dyDescent="0.25">
      <c r="B576" s="258">
        <v>44032</v>
      </c>
      <c r="C576" s="227" t="s">
        <v>1696</v>
      </c>
      <c r="D576" s="228" t="s">
        <v>2160</v>
      </c>
      <c r="E576" s="229" t="s">
        <v>1263</v>
      </c>
      <c r="F576" s="259">
        <v>150000</v>
      </c>
    </row>
    <row r="577" spans="2:6" x14ac:dyDescent="0.25">
      <c r="B577" s="258">
        <v>44032</v>
      </c>
      <c r="C577" s="227" t="s">
        <v>1697</v>
      </c>
      <c r="D577" s="228" t="s">
        <v>2160</v>
      </c>
      <c r="E577" s="229" t="s">
        <v>1263</v>
      </c>
      <c r="F577" s="259">
        <v>1750000</v>
      </c>
    </row>
    <row r="578" spans="2:6" x14ac:dyDescent="0.25">
      <c r="B578" s="258">
        <v>45230</v>
      </c>
      <c r="C578" s="227" t="s">
        <v>2161</v>
      </c>
      <c r="D578" s="228" t="s">
        <v>2160</v>
      </c>
      <c r="E578" s="229" t="s">
        <v>1275</v>
      </c>
      <c r="F578" s="259">
        <v>116000</v>
      </c>
    </row>
    <row r="579" spans="2:6" x14ac:dyDescent="0.25">
      <c r="B579" s="258">
        <v>45268</v>
      </c>
      <c r="C579" s="227" t="s">
        <v>2335</v>
      </c>
      <c r="D579" s="228" t="s">
        <v>2160</v>
      </c>
      <c r="E579" s="229" t="s">
        <v>1275</v>
      </c>
      <c r="F579" s="259">
        <v>116000</v>
      </c>
    </row>
    <row r="580" spans="2:6" x14ac:dyDescent="0.25">
      <c r="B580" s="258">
        <v>45268</v>
      </c>
      <c r="C580" s="227" t="s">
        <v>2336</v>
      </c>
      <c r="D580" s="228" t="s">
        <v>2160</v>
      </c>
      <c r="E580" s="229" t="s">
        <v>1275</v>
      </c>
      <c r="F580" s="259">
        <v>199800</v>
      </c>
    </row>
    <row r="581" spans="2:6" x14ac:dyDescent="0.25">
      <c r="B581" s="258">
        <v>45278</v>
      </c>
      <c r="C581" s="227" t="s">
        <v>2337</v>
      </c>
      <c r="D581" s="228" t="s">
        <v>2160</v>
      </c>
      <c r="E581" s="229" t="s">
        <v>1275</v>
      </c>
      <c r="F581" s="259">
        <v>73750</v>
      </c>
    </row>
    <row r="582" spans="2:6" x14ac:dyDescent="0.25">
      <c r="B582" s="258">
        <v>44203</v>
      </c>
      <c r="C582" s="227" t="s">
        <v>1698</v>
      </c>
      <c r="D582" s="228" t="s">
        <v>1699</v>
      </c>
      <c r="E582" s="229" t="s">
        <v>1700</v>
      </c>
      <c r="F582" s="259">
        <v>9440</v>
      </c>
    </row>
    <row r="583" spans="2:6" x14ac:dyDescent="0.25">
      <c r="B583" s="258">
        <v>44203</v>
      </c>
      <c r="C583" s="227" t="s">
        <v>1701</v>
      </c>
      <c r="D583" s="228" t="s">
        <v>1699</v>
      </c>
      <c r="E583" s="229" t="s">
        <v>1700</v>
      </c>
      <c r="F583" s="259">
        <v>40000</v>
      </c>
    </row>
    <row r="584" spans="2:6" x14ac:dyDescent="0.25">
      <c r="B584" s="258">
        <v>44203</v>
      </c>
      <c r="C584" s="227" t="s">
        <v>1702</v>
      </c>
      <c r="D584" s="228" t="s">
        <v>1699</v>
      </c>
      <c r="E584" s="229" t="s">
        <v>1700</v>
      </c>
      <c r="F584" s="259">
        <v>9440</v>
      </c>
    </row>
    <row r="585" spans="2:6" x14ac:dyDescent="0.25">
      <c r="B585" s="258">
        <v>44203</v>
      </c>
      <c r="C585" s="227" t="s">
        <v>1703</v>
      </c>
      <c r="D585" s="228" t="s">
        <v>1699</v>
      </c>
      <c r="E585" s="229" t="s">
        <v>1700</v>
      </c>
      <c r="F585" s="259">
        <v>94440</v>
      </c>
    </row>
    <row r="586" spans="2:6" x14ac:dyDescent="0.25">
      <c r="B586" s="258">
        <v>44378</v>
      </c>
      <c r="C586" s="227" t="s">
        <v>1706</v>
      </c>
      <c r="D586" s="228" t="s">
        <v>1699</v>
      </c>
      <c r="E586" s="229" t="s">
        <v>1700</v>
      </c>
      <c r="F586" s="259">
        <v>9440</v>
      </c>
    </row>
    <row r="587" spans="2:6" x14ac:dyDescent="0.25">
      <c r="B587" s="258">
        <v>44449</v>
      </c>
      <c r="C587" s="231" t="s">
        <v>1652</v>
      </c>
      <c r="D587" s="228" t="s">
        <v>1699</v>
      </c>
      <c r="E587" s="229" t="s">
        <v>1710</v>
      </c>
      <c r="F587" s="259">
        <v>8850</v>
      </c>
    </row>
    <row r="588" spans="2:6" x14ac:dyDescent="0.25">
      <c r="B588" s="258">
        <v>44449</v>
      </c>
      <c r="C588" s="231" t="s">
        <v>1711</v>
      </c>
      <c r="D588" s="228" t="s">
        <v>1699</v>
      </c>
      <c r="E588" s="229" t="s">
        <v>1710</v>
      </c>
      <c r="F588" s="259">
        <v>8850</v>
      </c>
    </row>
    <row r="589" spans="2:6" x14ac:dyDescent="0.25">
      <c r="B589" s="258">
        <v>44449</v>
      </c>
      <c r="C589" s="231" t="s">
        <v>1650</v>
      </c>
      <c r="D589" s="228" t="s">
        <v>1699</v>
      </c>
      <c r="E589" s="229" t="s">
        <v>1710</v>
      </c>
      <c r="F589" s="259">
        <v>5900</v>
      </c>
    </row>
    <row r="590" spans="2:6" x14ac:dyDescent="0.25">
      <c r="B590" s="258">
        <v>44449</v>
      </c>
      <c r="C590" s="231" t="s">
        <v>1649</v>
      </c>
      <c r="D590" s="228" t="s">
        <v>1699</v>
      </c>
      <c r="E590" s="229" t="s">
        <v>1710</v>
      </c>
      <c r="F590" s="259">
        <v>5900</v>
      </c>
    </row>
    <row r="591" spans="2:6" x14ac:dyDescent="0.25">
      <c r="B591" s="258">
        <v>44449</v>
      </c>
      <c r="C591" s="231" t="s">
        <v>1651</v>
      </c>
      <c r="D591" s="228" t="s">
        <v>1699</v>
      </c>
      <c r="E591" s="229" t="s">
        <v>1710</v>
      </c>
      <c r="F591" s="259">
        <v>8850</v>
      </c>
    </row>
    <row r="592" spans="2:6" x14ac:dyDescent="0.25">
      <c r="B592" s="258">
        <v>44449</v>
      </c>
      <c r="C592" s="231" t="s">
        <v>1712</v>
      </c>
      <c r="D592" s="228" t="s">
        <v>1699</v>
      </c>
      <c r="E592" s="229" t="s">
        <v>1710</v>
      </c>
      <c r="F592" s="259">
        <v>8850</v>
      </c>
    </row>
    <row r="593" spans="2:6" x14ac:dyDescent="0.25">
      <c r="B593" s="258">
        <v>44449</v>
      </c>
      <c r="C593" s="231" t="s">
        <v>1713</v>
      </c>
      <c r="D593" s="228" t="s">
        <v>1699</v>
      </c>
      <c r="E593" s="229" t="s">
        <v>1710</v>
      </c>
      <c r="F593" s="259">
        <v>8850</v>
      </c>
    </row>
    <row r="594" spans="2:6" x14ac:dyDescent="0.25">
      <c r="B594" s="258">
        <v>44449</v>
      </c>
      <c r="C594" s="231" t="s">
        <v>1714</v>
      </c>
      <c r="D594" s="228" t="s">
        <v>1699</v>
      </c>
      <c r="E594" s="229" t="s">
        <v>1710</v>
      </c>
      <c r="F594" s="259">
        <v>28910</v>
      </c>
    </row>
    <row r="595" spans="2:6" x14ac:dyDescent="0.25">
      <c r="B595" s="258">
        <v>44449</v>
      </c>
      <c r="C595" s="231" t="s">
        <v>1715</v>
      </c>
      <c r="D595" s="228" t="s">
        <v>1699</v>
      </c>
      <c r="E595" s="229" t="s">
        <v>1710</v>
      </c>
      <c r="F595" s="259">
        <v>217254.52</v>
      </c>
    </row>
    <row r="596" spans="2:6" x14ac:dyDescent="0.25">
      <c r="B596" s="258">
        <v>44449</v>
      </c>
      <c r="C596" s="231" t="s">
        <v>1653</v>
      </c>
      <c r="D596" s="228" t="s">
        <v>1699</v>
      </c>
      <c r="E596" s="229" t="s">
        <v>1710</v>
      </c>
      <c r="F596" s="259">
        <v>217254.52</v>
      </c>
    </row>
    <row r="597" spans="2:6" x14ac:dyDescent="0.25">
      <c r="B597" s="258">
        <v>44462</v>
      </c>
      <c r="C597" s="231" t="s">
        <v>1719</v>
      </c>
      <c r="D597" s="228" t="s">
        <v>1699</v>
      </c>
      <c r="E597" s="229" t="s">
        <v>1710</v>
      </c>
      <c r="F597" s="259">
        <v>449893.88</v>
      </c>
    </row>
    <row r="598" spans="2:6" x14ac:dyDescent="0.25">
      <c r="B598" s="258">
        <v>44462</v>
      </c>
      <c r="C598" s="231" t="s">
        <v>1720</v>
      </c>
      <c r="D598" s="228" t="s">
        <v>1699</v>
      </c>
      <c r="E598" s="229" t="s">
        <v>1710</v>
      </c>
      <c r="F598" s="259">
        <v>197303.08</v>
      </c>
    </row>
    <row r="599" spans="2:6" x14ac:dyDescent="0.25">
      <c r="B599" s="258">
        <v>44462</v>
      </c>
      <c r="C599" s="231" t="s">
        <v>1721</v>
      </c>
      <c r="D599" s="228" t="s">
        <v>1699</v>
      </c>
      <c r="E599" s="229" t="s">
        <v>1710</v>
      </c>
      <c r="F599" s="259">
        <v>89056.960000000006</v>
      </c>
    </row>
    <row r="600" spans="2:6" x14ac:dyDescent="0.25">
      <c r="B600" s="258">
        <v>44545</v>
      </c>
      <c r="C600" s="231" t="s">
        <v>1731</v>
      </c>
      <c r="D600" s="228" t="s">
        <v>1699</v>
      </c>
      <c r="E600" s="229" t="s">
        <v>1710</v>
      </c>
      <c r="F600" s="259">
        <v>35310.32</v>
      </c>
    </row>
    <row r="601" spans="2:6" x14ac:dyDescent="0.25">
      <c r="B601" s="258">
        <v>44547</v>
      </c>
      <c r="C601" s="231" t="s">
        <v>1732</v>
      </c>
      <c r="D601" s="228" t="s">
        <v>1699</v>
      </c>
      <c r="E601" s="229" t="s">
        <v>1710</v>
      </c>
      <c r="F601" s="259">
        <v>80254.16</v>
      </c>
    </row>
    <row r="602" spans="2:6" x14ac:dyDescent="0.25">
      <c r="B602" s="258">
        <v>44594</v>
      </c>
      <c r="C602" s="231" t="s">
        <v>1734</v>
      </c>
      <c r="D602" s="228" t="s">
        <v>1699</v>
      </c>
      <c r="E602" s="229" t="s">
        <v>1710</v>
      </c>
      <c r="F602" s="259">
        <v>11323.28</v>
      </c>
    </row>
    <row r="603" spans="2:6" x14ac:dyDescent="0.25">
      <c r="B603" s="258">
        <v>44607</v>
      </c>
      <c r="C603" s="231" t="s">
        <v>1741</v>
      </c>
      <c r="D603" s="228" t="s">
        <v>1699</v>
      </c>
      <c r="E603" s="229" t="s">
        <v>1742</v>
      </c>
      <c r="F603" s="259">
        <v>419546.64</v>
      </c>
    </row>
    <row r="604" spans="2:6" x14ac:dyDescent="0.25">
      <c r="B604" s="258">
        <v>44607</v>
      </c>
      <c r="C604" s="231" t="s">
        <v>1743</v>
      </c>
      <c r="D604" s="228" t="s">
        <v>1699</v>
      </c>
      <c r="E604" s="229" t="s">
        <v>1710</v>
      </c>
      <c r="F604" s="259">
        <v>183711.84</v>
      </c>
    </row>
    <row r="605" spans="2:6" x14ac:dyDescent="0.25">
      <c r="B605" s="261">
        <v>44893</v>
      </c>
      <c r="C605" s="227" t="s">
        <v>1753</v>
      </c>
      <c r="D605" s="228" t="s">
        <v>1699</v>
      </c>
      <c r="E605" s="229" t="s">
        <v>1754</v>
      </c>
      <c r="F605" s="259">
        <v>19654.080000000002</v>
      </c>
    </row>
    <row r="606" spans="2:6" x14ac:dyDescent="0.25">
      <c r="B606" s="261">
        <v>44893</v>
      </c>
      <c r="C606" s="227" t="s">
        <v>1755</v>
      </c>
      <c r="D606" s="228" t="s">
        <v>1699</v>
      </c>
      <c r="E606" s="229" t="s">
        <v>1754</v>
      </c>
      <c r="F606" s="259">
        <v>166021.28</v>
      </c>
    </row>
    <row r="607" spans="2:6" x14ac:dyDescent="0.25">
      <c r="B607" s="261">
        <v>44893</v>
      </c>
      <c r="C607" s="227" t="s">
        <v>1756</v>
      </c>
      <c r="D607" s="228" t="s">
        <v>1699</v>
      </c>
      <c r="E607" s="229" t="s">
        <v>1754</v>
      </c>
      <c r="F607" s="259">
        <v>93564.56</v>
      </c>
    </row>
    <row r="608" spans="2:6" x14ac:dyDescent="0.25">
      <c r="B608" s="261">
        <v>44893</v>
      </c>
      <c r="C608" s="227" t="s">
        <v>1757</v>
      </c>
      <c r="D608" s="228" t="s">
        <v>1699</v>
      </c>
      <c r="E608" s="229" t="s">
        <v>1754</v>
      </c>
      <c r="F608" s="259">
        <v>160359.64000000001</v>
      </c>
    </row>
    <row r="609" spans="2:6" x14ac:dyDescent="0.25">
      <c r="B609" s="261">
        <v>44895</v>
      </c>
      <c r="C609" s="227" t="s">
        <v>1758</v>
      </c>
      <c r="D609" s="228" t="s">
        <v>1699</v>
      </c>
      <c r="E609" s="229" t="s">
        <v>1754</v>
      </c>
      <c r="F609" s="259">
        <v>104902</v>
      </c>
    </row>
    <row r="610" spans="2:6" x14ac:dyDescent="0.25">
      <c r="B610" s="258">
        <v>45019</v>
      </c>
      <c r="C610" s="227" t="s">
        <v>1760</v>
      </c>
      <c r="D610" s="228" t="s">
        <v>1699</v>
      </c>
      <c r="E610" s="229" t="s">
        <v>1754</v>
      </c>
      <c r="F610" s="259">
        <v>36226</v>
      </c>
    </row>
    <row r="611" spans="2:6" x14ac:dyDescent="0.25">
      <c r="B611" s="258">
        <v>45082</v>
      </c>
      <c r="C611" s="227" t="s">
        <v>1764</v>
      </c>
      <c r="D611" s="228" t="s">
        <v>1699</v>
      </c>
      <c r="E611" s="229" t="s">
        <v>1765</v>
      </c>
      <c r="F611" s="259">
        <v>95367.6</v>
      </c>
    </row>
    <row r="612" spans="2:6" x14ac:dyDescent="0.25">
      <c r="B612" s="258">
        <v>45082</v>
      </c>
      <c r="C612" s="227" t="s">
        <v>1766</v>
      </c>
      <c r="D612" s="228" t="s">
        <v>1699</v>
      </c>
      <c r="E612" s="229" t="s">
        <v>1765</v>
      </c>
      <c r="F612" s="259">
        <v>95367.6</v>
      </c>
    </row>
    <row r="613" spans="2:6" x14ac:dyDescent="0.25">
      <c r="B613" s="258">
        <v>45163</v>
      </c>
      <c r="C613" s="227" t="s">
        <v>1772</v>
      </c>
      <c r="D613" s="228" t="s">
        <v>1699</v>
      </c>
      <c r="E613" s="229" t="s">
        <v>1773</v>
      </c>
      <c r="F613" s="259">
        <v>129800</v>
      </c>
    </row>
    <row r="614" spans="2:6" x14ac:dyDescent="0.25">
      <c r="B614" s="258">
        <v>45215</v>
      </c>
      <c r="C614" s="227" t="s">
        <v>2165</v>
      </c>
      <c r="D614" s="228" t="s">
        <v>2166</v>
      </c>
      <c r="E614" s="229" t="s">
        <v>2167</v>
      </c>
      <c r="F614" s="259">
        <v>99216.76</v>
      </c>
    </row>
    <row r="615" spans="2:6" x14ac:dyDescent="0.25">
      <c r="B615" s="258">
        <v>44307</v>
      </c>
      <c r="C615" s="231" t="s">
        <v>1704</v>
      </c>
      <c r="D615" s="228" t="s">
        <v>1699</v>
      </c>
      <c r="E615" s="229" t="s">
        <v>1421</v>
      </c>
      <c r="F615" s="259">
        <v>5074</v>
      </c>
    </row>
    <row r="616" spans="2:6" x14ac:dyDescent="0.25">
      <c r="B616" s="258">
        <v>44307</v>
      </c>
      <c r="C616" s="227" t="s">
        <v>1705</v>
      </c>
      <c r="D616" s="228" t="s">
        <v>1699</v>
      </c>
      <c r="E616" s="229" t="s">
        <v>1421</v>
      </c>
      <c r="F616" s="259">
        <v>52074</v>
      </c>
    </row>
    <row r="617" spans="2:6" x14ac:dyDescent="0.25">
      <c r="B617" s="258">
        <v>44378</v>
      </c>
      <c r="C617" s="227" t="s">
        <v>1707</v>
      </c>
      <c r="D617" s="228" t="s">
        <v>1699</v>
      </c>
      <c r="E617" s="229" t="s">
        <v>1421</v>
      </c>
      <c r="F617" s="259">
        <v>40000</v>
      </c>
    </row>
    <row r="618" spans="2:6" x14ac:dyDescent="0.25">
      <c r="B618" s="258">
        <v>44378</v>
      </c>
      <c r="C618" s="231" t="s">
        <v>1708</v>
      </c>
      <c r="D618" s="228" t="s">
        <v>1699</v>
      </c>
      <c r="E618" s="232" t="s">
        <v>1279</v>
      </c>
      <c r="F618" s="260">
        <v>40000</v>
      </c>
    </row>
    <row r="619" spans="2:6" x14ac:dyDescent="0.25">
      <c r="B619" s="258">
        <v>44378</v>
      </c>
      <c r="C619" s="231" t="s">
        <v>1709</v>
      </c>
      <c r="D619" s="228" t="s">
        <v>1699</v>
      </c>
      <c r="E619" s="232" t="s">
        <v>1279</v>
      </c>
      <c r="F619" s="260">
        <v>9440</v>
      </c>
    </row>
    <row r="620" spans="2:6" x14ac:dyDescent="0.25">
      <c r="B620" s="258">
        <v>44442</v>
      </c>
      <c r="C620" s="227" t="s">
        <v>1648</v>
      </c>
      <c r="D620" s="228" t="s">
        <v>1699</v>
      </c>
      <c r="E620" s="229" t="s">
        <v>1421</v>
      </c>
      <c r="F620" s="259">
        <v>606956.6</v>
      </c>
    </row>
    <row r="621" spans="2:6" x14ac:dyDescent="0.25">
      <c r="B621" s="258">
        <v>44461</v>
      </c>
      <c r="C621" s="231" t="s">
        <v>1716</v>
      </c>
      <c r="D621" s="228" t="s">
        <v>1699</v>
      </c>
      <c r="E621" s="232" t="s">
        <v>1279</v>
      </c>
      <c r="F621" s="260">
        <v>14575</v>
      </c>
    </row>
    <row r="622" spans="2:6" x14ac:dyDescent="0.25">
      <c r="B622" s="258">
        <v>44461</v>
      </c>
      <c r="C622" s="231" t="s">
        <v>1717</v>
      </c>
      <c r="D622" s="228" t="s">
        <v>1699</v>
      </c>
      <c r="E622" s="232" t="s">
        <v>1279</v>
      </c>
      <c r="F622" s="260">
        <v>9440</v>
      </c>
    </row>
    <row r="623" spans="2:6" x14ac:dyDescent="0.25">
      <c r="B623" s="258">
        <v>44461</v>
      </c>
      <c r="C623" s="231" t="s">
        <v>1718</v>
      </c>
      <c r="D623" s="228" t="s">
        <v>1699</v>
      </c>
      <c r="E623" s="232" t="s">
        <v>1279</v>
      </c>
      <c r="F623" s="260">
        <v>41445.879999999997</v>
      </c>
    </row>
    <row r="624" spans="2:6" x14ac:dyDescent="0.25">
      <c r="B624" s="258">
        <v>44482</v>
      </c>
      <c r="C624" s="231" t="s">
        <v>1665</v>
      </c>
      <c r="D624" s="228" t="s">
        <v>1699</v>
      </c>
      <c r="E624" s="232" t="s">
        <v>1279</v>
      </c>
      <c r="F624" s="260">
        <v>9440</v>
      </c>
    </row>
    <row r="625" spans="2:6" x14ac:dyDescent="0.25">
      <c r="B625" s="258">
        <v>44482</v>
      </c>
      <c r="C625" s="231" t="s">
        <v>1722</v>
      </c>
      <c r="D625" s="228" t="s">
        <v>1699</v>
      </c>
      <c r="E625" s="232" t="s">
        <v>1279</v>
      </c>
      <c r="F625" s="260">
        <v>24015</v>
      </c>
    </row>
    <row r="626" spans="2:6" x14ac:dyDescent="0.25">
      <c r="B626" s="258">
        <v>44501</v>
      </c>
      <c r="C626" s="231" t="s">
        <v>1723</v>
      </c>
      <c r="D626" s="228" t="s">
        <v>1699</v>
      </c>
      <c r="E626" s="229" t="s">
        <v>1421</v>
      </c>
      <c r="F626" s="259">
        <v>182000</v>
      </c>
    </row>
    <row r="627" spans="2:6" x14ac:dyDescent="0.25">
      <c r="B627" s="258">
        <v>44502</v>
      </c>
      <c r="C627" s="231" t="s">
        <v>1724</v>
      </c>
      <c r="D627" s="228" t="s">
        <v>1699</v>
      </c>
      <c r="E627" s="229" t="s">
        <v>1421</v>
      </c>
      <c r="F627" s="259">
        <v>182000</v>
      </c>
    </row>
    <row r="628" spans="2:6" x14ac:dyDescent="0.25">
      <c r="B628" s="258">
        <v>44544</v>
      </c>
      <c r="C628" s="231" t="s">
        <v>1725</v>
      </c>
      <c r="D628" s="228" t="s">
        <v>1699</v>
      </c>
      <c r="E628" s="229" t="s">
        <v>1421</v>
      </c>
      <c r="F628" s="259">
        <v>14945.88</v>
      </c>
    </row>
    <row r="629" spans="2:6" x14ac:dyDescent="0.25">
      <c r="B629" s="258">
        <v>44544</v>
      </c>
      <c r="C629" s="231" t="s">
        <v>1726</v>
      </c>
      <c r="D629" s="228" t="s">
        <v>1699</v>
      </c>
      <c r="E629" s="229" t="s">
        <v>1421</v>
      </c>
      <c r="F629" s="259">
        <v>9440</v>
      </c>
    </row>
    <row r="630" spans="2:6" x14ac:dyDescent="0.25">
      <c r="B630" s="258">
        <v>44544</v>
      </c>
      <c r="C630" s="231" t="s">
        <v>1727</v>
      </c>
      <c r="D630" s="228" t="s">
        <v>1699</v>
      </c>
      <c r="E630" s="229" t="s">
        <v>1421</v>
      </c>
      <c r="F630" s="259">
        <v>14750</v>
      </c>
    </row>
    <row r="631" spans="2:6" x14ac:dyDescent="0.25">
      <c r="B631" s="258">
        <v>44544</v>
      </c>
      <c r="C631" s="231" t="s">
        <v>1728</v>
      </c>
      <c r="D631" s="228" t="s">
        <v>1699</v>
      </c>
      <c r="E631" s="229" t="s">
        <v>1421</v>
      </c>
      <c r="F631" s="259">
        <v>24015</v>
      </c>
    </row>
    <row r="632" spans="2:6" x14ac:dyDescent="0.25">
      <c r="B632" s="258">
        <v>44544</v>
      </c>
      <c r="C632" s="231" t="s">
        <v>1729</v>
      </c>
      <c r="D632" s="228" t="s">
        <v>1699</v>
      </c>
      <c r="E632" s="229" t="s">
        <v>1421</v>
      </c>
      <c r="F632" s="259">
        <v>49440</v>
      </c>
    </row>
    <row r="633" spans="2:6" x14ac:dyDescent="0.25">
      <c r="B633" s="258">
        <v>44544</v>
      </c>
      <c r="C633" s="231" t="s">
        <v>1730</v>
      </c>
      <c r="D633" s="228" t="s">
        <v>1699</v>
      </c>
      <c r="E633" s="229" t="s">
        <v>1421</v>
      </c>
      <c r="F633" s="259">
        <v>9440</v>
      </c>
    </row>
    <row r="634" spans="2:6" x14ac:dyDescent="0.25">
      <c r="B634" s="258">
        <v>44578</v>
      </c>
      <c r="C634" s="231" t="s">
        <v>1733</v>
      </c>
      <c r="D634" s="228" t="s">
        <v>1699</v>
      </c>
      <c r="E634" s="229" t="s">
        <v>1421</v>
      </c>
      <c r="F634" s="259">
        <v>240604.36</v>
      </c>
    </row>
    <row r="635" spans="2:6" x14ac:dyDescent="0.25">
      <c r="B635" s="258">
        <v>44607</v>
      </c>
      <c r="C635" s="231" t="s">
        <v>1735</v>
      </c>
      <c r="D635" s="228" t="s">
        <v>1699</v>
      </c>
      <c r="E635" s="229" t="s">
        <v>1421</v>
      </c>
      <c r="F635" s="259">
        <v>11925</v>
      </c>
    </row>
    <row r="636" spans="2:6" x14ac:dyDescent="0.25">
      <c r="B636" s="258">
        <v>44607</v>
      </c>
      <c r="C636" s="231" t="s">
        <v>1736</v>
      </c>
      <c r="D636" s="228" t="s">
        <v>1699</v>
      </c>
      <c r="E636" s="229" t="s">
        <v>1421</v>
      </c>
      <c r="F636" s="259">
        <v>89440</v>
      </c>
    </row>
    <row r="637" spans="2:6" x14ac:dyDescent="0.25">
      <c r="B637" s="258">
        <v>44607</v>
      </c>
      <c r="C637" s="231" t="s">
        <v>1737</v>
      </c>
      <c r="D637" s="228" t="s">
        <v>1699</v>
      </c>
      <c r="E637" s="229" t="s">
        <v>1421</v>
      </c>
      <c r="F637" s="259">
        <v>21365</v>
      </c>
    </row>
    <row r="638" spans="2:6" x14ac:dyDescent="0.25">
      <c r="B638" s="258">
        <v>44607</v>
      </c>
      <c r="C638" s="231" t="s">
        <v>1738</v>
      </c>
      <c r="D638" s="228" t="s">
        <v>1699</v>
      </c>
      <c r="E638" s="229" t="s">
        <v>1421</v>
      </c>
      <c r="F638" s="259">
        <v>21365</v>
      </c>
    </row>
    <row r="639" spans="2:6" x14ac:dyDescent="0.25">
      <c r="B639" s="258">
        <v>44607</v>
      </c>
      <c r="C639" s="231" t="s">
        <v>1739</v>
      </c>
      <c r="D639" s="228" t="s">
        <v>1699</v>
      </c>
      <c r="E639" s="229" t="s">
        <v>1421</v>
      </c>
      <c r="F639" s="259">
        <v>9440</v>
      </c>
    </row>
    <row r="640" spans="2:6" x14ac:dyDescent="0.25">
      <c r="B640" s="258">
        <v>44607</v>
      </c>
      <c r="C640" s="231" t="s">
        <v>1740</v>
      </c>
      <c r="D640" s="228" t="s">
        <v>1699</v>
      </c>
      <c r="E640" s="229" t="s">
        <v>1421</v>
      </c>
      <c r="F640" s="259">
        <v>9440</v>
      </c>
    </row>
    <row r="641" spans="2:6" x14ac:dyDescent="0.25">
      <c r="B641" s="258">
        <v>44644</v>
      </c>
      <c r="C641" s="231" t="s">
        <v>1744</v>
      </c>
      <c r="D641" s="228" t="s">
        <v>1699</v>
      </c>
      <c r="E641" s="232" t="s">
        <v>1279</v>
      </c>
      <c r="F641" s="260">
        <v>105440</v>
      </c>
    </row>
    <row r="642" spans="2:6" x14ac:dyDescent="0.25">
      <c r="B642" s="258">
        <v>44644</v>
      </c>
      <c r="C642" s="231" t="s">
        <v>1745</v>
      </c>
      <c r="D642" s="228" t="s">
        <v>1699</v>
      </c>
      <c r="E642" s="232" t="s">
        <v>1279</v>
      </c>
      <c r="F642" s="260">
        <v>182000</v>
      </c>
    </row>
    <row r="643" spans="2:6" x14ac:dyDescent="0.25">
      <c r="B643" s="258">
        <v>44672</v>
      </c>
      <c r="C643" s="231" t="s">
        <v>1746</v>
      </c>
      <c r="D643" s="228" t="s">
        <v>1699</v>
      </c>
      <c r="E643" s="232" t="s">
        <v>1279</v>
      </c>
      <c r="F643" s="260">
        <v>182000</v>
      </c>
    </row>
    <row r="644" spans="2:6" x14ac:dyDescent="0.25">
      <c r="B644" s="258">
        <v>44694</v>
      </c>
      <c r="C644" s="227" t="s">
        <v>1747</v>
      </c>
      <c r="D644" s="228" t="s">
        <v>1699</v>
      </c>
      <c r="E644" s="229" t="s">
        <v>1421</v>
      </c>
      <c r="F644" s="259">
        <v>182000</v>
      </c>
    </row>
    <row r="645" spans="2:6" x14ac:dyDescent="0.25">
      <c r="B645" s="258">
        <v>44699</v>
      </c>
      <c r="C645" s="227" t="s">
        <v>1748</v>
      </c>
      <c r="D645" s="228" t="s">
        <v>1699</v>
      </c>
      <c r="E645" s="229" t="s">
        <v>1421</v>
      </c>
      <c r="F645" s="259">
        <v>182000</v>
      </c>
    </row>
    <row r="646" spans="2:6" x14ac:dyDescent="0.25">
      <c r="B646" s="258">
        <v>44713</v>
      </c>
      <c r="C646" s="231" t="s">
        <v>1749</v>
      </c>
      <c r="D646" s="228" t="s">
        <v>1699</v>
      </c>
      <c r="E646" s="232" t="s">
        <v>1279</v>
      </c>
      <c r="F646" s="260">
        <v>182000</v>
      </c>
    </row>
    <row r="647" spans="2:6" x14ac:dyDescent="0.25">
      <c r="B647" s="258">
        <v>44826</v>
      </c>
      <c r="C647" s="231" t="s">
        <v>1661</v>
      </c>
      <c r="D647" s="228" t="s">
        <v>1699</v>
      </c>
      <c r="E647" s="232" t="s">
        <v>1279</v>
      </c>
      <c r="F647" s="260">
        <v>21365</v>
      </c>
    </row>
    <row r="648" spans="2:6" x14ac:dyDescent="0.25">
      <c r="B648" s="261">
        <v>44840</v>
      </c>
      <c r="C648" s="227" t="s">
        <v>1750</v>
      </c>
      <c r="D648" s="228" t="s">
        <v>1699</v>
      </c>
      <c r="E648" s="229" t="s">
        <v>1263</v>
      </c>
      <c r="F648" s="259">
        <v>51925</v>
      </c>
    </row>
    <row r="649" spans="2:6" x14ac:dyDescent="0.25">
      <c r="B649" s="261">
        <v>44840</v>
      </c>
      <c r="C649" s="227" t="s">
        <v>1751</v>
      </c>
      <c r="D649" s="228" t="s">
        <v>1699</v>
      </c>
      <c r="E649" s="229" t="s">
        <v>1325</v>
      </c>
      <c r="F649" s="259">
        <v>9440</v>
      </c>
    </row>
    <row r="650" spans="2:6" x14ac:dyDescent="0.25">
      <c r="B650" s="261">
        <v>44840</v>
      </c>
      <c r="C650" s="227" t="s">
        <v>1752</v>
      </c>
      <c r="D650" s="228" t="s">
        <v>1699</v>
      </c>
      <c r="E650" s="229" t="s">
        <v>1275</v>
      </c>
      <c r="F650" s="259">
        <v>11925</v>
      </c>
    </row>
    <row r="651" spans="2:6" x14ac:dyDescent="0.25">
      <c r="B651" s="258">
        <v>44959</v>
      </c>
      <c r="C651" s="227" t="s">
        <v>1759</v>
      </c>
      <c r="D651" s="228" t="s">
        <v>1699</v>
      </c>
      <c r="E651" s="229" t="s">
        <v>1279</v>
      </c>
      <c r="F651" s="259">
        <v>1443480</v>
      </c>
    </row>
    <row r="652" spans="2:6" x14ac:dyDescent="0.25">
      <c r="B652" s="258">
        <v>45035</v>
      </c>
      <c r="C652" s="227" t="s">
        <v>1761</v>
      </c>
      <c r="D652" s="228" t="s">
        <v>1699</v>
      </c>
      <c r="E652" s="229" t="s">
        <v>1279</v>
      </c>
      <c r="F652" s="259">
        <v>75520</v>
      </c>
    </row>
    <row r="653" spans="2:6" x14ac:dyDescent="0.25">
      <c r="B653" s="258">
        <v>45035</v>
      </c>
      <c r="C653" s="227" t="s">
        <v>1762</v>
      </c>
      <c r="D653" s="228" t="s">
        <v>1699</v>
      </c>
      <c r="E653" s="229" t="s">
        <v>1316</v>
      </c>
      <c r="F653" s="259">
        <v>47200</v>
      </c>
    </row>
    <row r="654" spans="2:6" x14ac:dyDescent="0.25">
      <c r="B654" s="258">
        <v>45035</v>
      </c>
      <c r="C654" s="227" t="s">
        <v>1763</v>
      </c>
      <c r="D654" s="228" t="s">
        <v>1699</v>
      </c>
      <c r="E654" s="229" t="s">
        <v>1279</v>
      </c>
      <c r="F654" s="259">
        <v>16579</v>
      </c>
    </row>
    <row r="655" spans="2:6" x14ac:dyDescent="0.25">
      <c r="B655" s="258">
        <v>45090</v>
      </c>
      <c r="C655" s="227" t="s">
        <v>1767</v>
      </c>
      <c r="D655" s="228" t="s">
        <v>1699</v>
      </c>
      <c r="E655" s="229" t="s">
        <v>1279</v>
      </c>
      <c r="F655" s="259">
        <v>118000</v>
      </c>
    </row>
    <row r="656" spans="2:6" x14ac:dyDescent="0.25">
      <c r="B656" s="258">
        <v>45090</v>
      </c>
      <c r="C656" s="227" t="s">
        <v>1768</v>
      </c>
      <c r="D656" s="228" t="s">
        <v>1699</v>
      </c>
      <c r="E656" s="229" t="s">
        <v>1279</v>
      </c>
      <c r="F656" s="259">
        <v>235410</v>
      </c>
    </row>
    <row r="657" spans="2:6" x14ac:dyDescent="0.25">
      <c r="B657" s="258">
        <v>45132</v>
      </c>
      <c r="C657" s="227" t="s">
        <v>1769</v>
      </c>
      <c r="D657" s="228" t="s">
        <v>1699</v>
      </c>
      <c r="E657" s="229" t="s">
        <v>1279</v>
      </c>
      <c r="F657" s="259">
        <v>206304.12</v>
      </c>
    </row>
    <row r="658" spans="2:6" x14ac:dyDescent="0.25">
      <c r="B658" s="258">
        <v>45132</v>
      </c>
      <c r="C658" s="227" t="s">
        <v>1770</v>
      </c>
      <c r="D658" s="228" t="s">
        <v>1699</v>
      </c>
      <c r="E658" s="229" t="s">
        <v>1279</v>
      </c>
      <c r="F658" s="259">
        <v>100174.92</v>
      </c>
    </row>
    <row r="659" spans="2:6" x14ac:dyDescent="0.25">
      <c r="B659" s="258">
        <v>45132</v>
      </c>
      <c r="C659" s="227" t="s">
        <v>1771</v>
      </c>
      <c r="D659" s="228" t="s">
        <v>1699</v>
      </c>
      <c r="E659" s="229" t="s">
        <v>1279</v>
      </c>
      <c r="F659" s="259">
        <v>222340.32</v>
      </c>
    </row>
    <row r="660" spans="2:6" x14ac:dyDescent="0.25">
      <c r="B660" s="258">
        <v>45170</v>
      </c>
      <c r="C660" s="227" t="s">
        <v>1774</v>
      </c>
      <c r="D660" s="228" t="s">
        <v>1699</v>
      </c>
      <c r="E660" s="229" t="s">
        <v>1279</v>
      </c>
      <c r="F660" s="259">
        <v>4672.8</v>
      </c>
    </row>
    <row r="661" spans="2:6" x14ac:dyDescent="0.25">
      <c r="B661" s="258">
        <v>45203</v>
      </c>
      <c r="C661" s="227" t="s">
        <v>2162</v>
      </c>
      <c r="D661" s="228" t="s">
        <v>2163</v>
      </c>
      <c r="E661" s="229" t="s">
        <v>1279</v>
      </c>
      <c r="F661" s="259">
        <v>159447.5</v>
      </c>
    </row>
    <row r="662" spans="2:6" x14ac:dyDescent="0.25">
      <c r="B662" s="258">
        <v>45250</v>
      </c>
      <c r="C662" s="227" t="s">
        <v>2164</v>
      </c>
      <c r="D662" s="228" t="s">
        <v>2163</v>
      </c>
      <c r="E662" s="229" t="s">
        <v>1279</v>
      </c>
      <c r="F662" s="259">
        <v>46256</v>
      </c>
    </row>
    <row r="663" spans="2:6" x14ac:dyDescent="0.25">
      <c r="B663" s="258">
        <v>45267</v>
      </c>
      <c r="C663" s="227" t="s">
        <v>2338</v>
      </c>
      <c r="D663" s="228" t="s">
        <v>2339</v>
      </c>
      <c r="E663" s="229" t="s">
        <v>2340</v>
      </c>
      <c r="F663" s="259">
        <v>554965.80000000005</v>
      </c>
    </row>
    <row r="664" spans="2:6" x14ac:dyDescent="0.25">
      <c r="B664" s="258">
        <v>45307</v>
      </c>
      <c r="C664" s="227" t="s">
        <v>2499</v>
      </c>
      <c r="D664" s="228" t="s">
        <v>2339</v>
      </c>
      <c r="E664" s="229" t="s">
        <v>1279</v>
      </c>
      <c r="F664" s="259">
        <v>22284.3</v>
      </c>
    </row>
    <row r="665" spans="2:6" x14ac:dyDescent="0.25">
      <c r="B665" s="258">
        <v>44623</v>
      </c>
      <c r="C665" s="231" t="s">
        <v>1590</v>
      </c>
      <c r="D665" s="228" t="s">
        <v>1775</v>
      </c>
      <c r="E665" s="232" t="s">
        <v>1776</v>
      </c>
      <c r="F665" s="260">
        <v>100300</v>
      </c>
    </row>
    <row r="666" spans="2:6" x14ac:dyDescent="0.25">
      <c r="B666" s="258">
        <v>45259</v>
      </c>
      <c r="C666" s="227" t="s">
        <v>2341</v>
      </c>
      <c r="D666" s="228" t="s">
        <v>2342</v>
      </c>
      <c r="E666" s="229" t="s">
        <v>2038</v>
      </c>
      <c r="F666" s="259">
        <v>22825.919999999998</v>
      </c>
    </row>
    <row r="667" spans="2:6" x14ac:dyDescent="0.25">
      <c r="B667" s="258">
        <v>45174</v>
      </c>
      <c r="C667" s="227" t="s">
        <v>2168</v>
      </c>
      <c r="D667" s="228" t="s">
        <v>2169</v>
      </c>
      <c r="E667" s="229" t="s">
        <v>2170</v>
      </c>
      <c r="F667" s="259">
        <v>5900</v>
      </c>
    </row>
    <row r="668" spans="2:6" x14ac:dyDescent="0.25">
      <c r="B668" s="258">
        <v>45203</v>
      </c>
      <c r="C668" s="227" t="s">
        <v>2171</v>
      </c>
      <c r="D668" s="228" t="s">
        <v>2169</v>
      </c>
      <c r="E668" s="228" t="s">
        <v>2170</v>
      </c>
      <c r="F668" s="259">
        <v>5900</v>
      </c>
    </row>
    <row r="669" spans="2:6" x14ac:dyDescent="0.25">
      <c r="B669" s="258">
        <v>45061</v>
      </c>
      <c r="C669" s="227" t="s">
        <v>1777</v>
      </c>
      <c r="D669" s="228" t="s">
        <v>1778</v>
      </c>
      <c r="E669" s="229" t="s">
        <v>1279</v>
      </c>
      <c r="F669" s="259">
        <v>212420</v>
      </c>
    </row>
    <row r="670" spans="2:6" x14ac:dyDescent="0.25">
      <c r="B670" s="258">
        <v>45238</v>
      </c>
      <c r="C670" s="227" t="s">
        <v>1811</v>
      </c>
      <c r="D670" s="228" t="s">
        <v>1778</v>
      </c>
      <c r="E670" s="229" t="s">
        <v>1414</v>
      </c>
      <c r="F670" s="259">
        <v>212420</v>
      </c>
    </row>
    <row r="671" spans="2:6" x14ac:dyDescent="0.25">
      <c r="B671" s="258">
        <v>45278</v>
      </c>
      <c r="C671" s="227" t="s">
        <v>2343</v>
      </c>
      <c r="D671" s="228" t="s">
        <v>1778</v>
      </c>
      <c r="E671" s="229" t="s">
        <v>1552</v>
      </c>
      <c r="F671" s="259">
        <v>101970</v>
      </c>
    </row>
    <row r="672" spans="2:6" x14ac:dyDescent="0.25">
      <c r="B672" s="261">
        <v>44862</v>
      </c>
      <c r="C672" s="227" t="s">
        <v>1336</v>
      </c>
      <c r="D672" s="228" t="s">
        <v>1779</v>
      </c>
      <c r="E672" s="229" t="s">
        <v>1780</v>
      </c>
      <c r="F672" s="259">
        <v>118944</v>
      </c>
    </row>
    <row r="673" spans="2:6" x14ac:dyDescent="0.25">
      <c r="B673" s="261">
        <v>44866</v>
      </c>
      <c r="C673" s="227" t="s">
        <v>1588</v>
      </c>
      <c r="D673" s="228" t="s">
        <v>1779</v>
      </c>
      <c r="E673" s="229" t="s">
        <v>1781</v>
      </c>
      <c r="F673" s="259">
        <v>43612.800000000003</v>
      </c>
    </row>
    <row r="674" spans="2:6" x14ac:dyDescent="0.25">
      <c r="B674" s="261">
        <v>44883</v>
      </c>
      <c r="C674" s="227" t="s">
        <v>1474</v>
      </c>
      <c r="D674" s="228" t="s">
        <v>1779</v>
      </c>
      <c r="E674" s="229" t="s">
        <v>1692</v>
      </c>
      <c r="F674" s="259">
        <v>45170.400000000001</v>
      </c>
    </row>
    <row r="675" spans="2:6" x14ac:dyDescent="0.25">
      <c r="B675" s="261">
        <v>44915</v>
      </c>
      <c r="C675" s="227" t="s">
        <v>1782</v>
      </c>
      <c r="D675" s="228" t="s">
        <v>1779</v>
      </c>
      <c r="E675" s="229" t="s">
        <v>1783</v>
      </c>
      <c r="F675" s="259">
        <v>360962</v>
      </c>
    </row>
    <row r="676" spans="2:6" x14ac:dyDescent="0.25">
      <c r="B676" s="258">
        <v>44974</v>
      </c>
      <c r="C676" s="227" t="s">
        <v>1784</v>
      </c>
      <c r="D676" s="228" t="s">
        <v>1779</v>
      </c>
      <c r="E676" s="229" t="s">
        <v>1692</v>
      </c>
      <c r="F676" s="259">
        <v>102660</v>
      </c>
    </row>
    <row r="677" spans="2:6" x14ac:dyDescent="0.25">
      <c r="B677" s="258">
        <v>44977</v>
      </c>
      <c r="C677" s="227" t="s">
        <v>1785</v>
      </c>
      <c r="D677" s="228" t="s">
        <v>1779</v>
      </c>
      <c r="E677" s="229" t="s">
        <v>1780</v>
      </c>
      <c r="F677" s="259">
        <v>351463</v>
      </c>
    </row>
    <row r="678" spans="2:6" x14ac:dyDescent="0.25">
      <c r="B678" s="258">
        <v>44988</v>
      </c>
      <c r="C678" s="227" t="s">
        <v>1786</v>
      </c>
      <c r="D678" s="228" t="s">
        <v>1779</v>
      </c>
      <c r="E678" s="229" t="s">
        <v>1787</v>
      </c>
      <c r="F678" s="259">
        <v>935368.3</v>
      </c>
    </row>
    <row r="679" spans="2:6" x14ac:dyDescent="0.25">
      <c r="B679" s="258">
        <v>45105</v>
      </c>
      <c r="C679" s="227" t="s">
        <v>1789</v>
      </c>
      <c r="D679" s="228" t="s">
        <v>1779</v>
      </c>
      <c r="E679" s="229" t="s">
        <v>1334</v>
      </c>
      <c r="F679" s="259">
        <v>219480</v>
      </c>
    </row>
    <row r="680" spans="2:6" x14ac:dyDescent="0.25">
      <c r="B680" s="258">
        <v>45132</v>
      </c>
      <c r="C680" s="227" t="s">
        <v>1790</v>
      </c>
      <c r="D680" s="228" t="s">
        <v>1779</v>
      </c>
      <c r="E680" s="229" t="s">
        <v>1791</v>
      </c>
      <c r="F680" s="259">
        <v>225861.44</v>
      </c>
    </row>
    <row r="681" spans="2:6" x14ac:dyDescent="0.25">
      <c r="B681" s="258">
        <v>45167</v>
      </c>
      <c r="C681" s="227" t="s">
        <v>1370</v>
      </c>
      <c r="D681" s="228" t="s">
        <v>1779</v>
      </c>
      <c r="E681" s="229" t="s">
        <v>1794</v>
      </c>
      <c r="F681" s="259">
        <v>182900</v>
      </c>
    </row>
    <row r="682" spans="2:6" x14ac:dyDescent="0.25">
      <c r="B682" s="258">
        <v>45170</v>
      </c>
      <c r="C682" s="227" t="s">
        <v>1777</v>
      </c>
      <c r="D682" s="228" t="s">
        <v>1779</v>
      </c>
      <c r="E682" s="229" t="s">
        <v>1796</v>
      </c>
      <c r="F682" s="259">
        <v>223905</v>
      </c>
    </row>
    <row r="683" spans="2:6" x14ac:dyDescent="0.25">
      <c r="B683" s="258">
        <v>45173</v>
      </c>
      <c r="C683" s="227" t="s">
        <v>1797</v>
      </c>
      <c r="D683" s="228" t="s">
        <v>1779</v>
      </c>
      <c r="E683" s="229" t="s">
        <v>1367</v>
      </c>
      <c r="F683" s="259">
        <v>6077</v>
      </c>
    </row>
    <row r="684" spans="2:6" x14ac:dyDescent="0.25">
      <c r="B684" s="258">
        <v>45202</v>
      </c>
      <c r="C684" s="227" t="s">
        <v>1372</v>
      </c>
      <c r="D684" s="228" t="s">
        <v>1779</v>
      </c>
      <c r="E684" s="229" t="s">
        <v>2172</v>
      </c>
      <c r="F684" s="259">
        <v>182900</v>
      </c>
    </row>
    <row r="685" spans="2:6" x14ac:dyDescent="0.25">
      <c r="B685" s="258">
        <v>45209</v>
      </c>
      <c r="C685" s="227" t="s">
        <v>2173</v>
      </c>
      <c r="D685" s="228" t="s">
        <v>1779</v>
      </c>
      <c r="E685" s="229" t="s">
        <v>1792</v>
      </c>
      <c r="F685" s="259">
        <v>225816.6</v>
      </c>
    </row>
    <row r="686" spans="2:6" x14ac:dyDescent="0.25">
      <c r="B686" s="258">
        <v>45211</v>
      </c>
      <c r="C686" s="227" t="s">
        <v>2174</v>
      </c>
      <c r="D686" s="228" t="s">
        <v>1779</v>
      </c>
      <c r="E686" s="229" t="s">
        <v>2175</v>
      </c>
      <c r="F686" s="259">
        <v>224790</v>
      </c>
    </row>
    <row r="687" spans="2:6" x14ac:dyDescent="0.25">
      <c r="B687" s="258">
        <v>45211</v>
      </c>
      <c r="C687" s="227" t="s">
        <v>2176</v>
      </c>
      <c r="D687" s="228" t="s">
        <v>1779</v>
      </c>
      <c r="E687" s="229" t="s">
        <v>2177</v>
      </c>
      <c r="F687" s="259">
        <v>157999.64000000001</v>
      </c>
    </row>
    <row r="688" spans="2:6" x14ac:dyDescent="0.25">
      <c r="B688" s="258">
        <v>45216</v>
      </c>
      <c r="C688" s="227" t="s">
        <v>2178</v>
      </c>
      <c r="D688" s="228" t="s">
        <v>1779</v>
      </c>
      <c r="E688" s="229" t="s">
        <v>1792</v>
      </c>
      <c r="F688" s="259">
        <v>1594100.94</v>
      </c>
    </row>
    <row r="689" spans="2:6" x14ac:dyDescent="0.25">
      <c r="B689" s="258">
        <v>45219</v>
      </c>
      <c r="C689" s="227" t="s">
        <v>2179</v>
      </c>
      <c r="D689" s="228" t="s">
        <v>1779</v>
      </c>
      <c r="E689" s="229" t="s">
        <v>1675</v>
      </c>
      <c r="F689" s="259">
        <v>65844</v>
      </c>
    </row>
    <row r="690" spans="2:6" x14ac:dyDescent="0.25">
      <c r="B690" s="258">
        <v>45231</v>
      </c>
      <c r="C690" s="227" t="s">
        <v>2180</v>
      </c>
      <c r="D690" s="228" t="s">
        <v>1779</v>
      </c>
      <c r="E690" s="229" t="s">
        <v>2181</v>
      </c>
      <c r="F690" s="259">
        <v>1451459</v>
      </c>
    </row>
    <row r="691" spans="2:6" x14ac:dyDescent="0.25">
      <c r="B691" s="258">
        <v>45238</v>
      </c>
      <c r="C691" s="227" t="s">
        <v>2182</v>
      </c>
      <c r="D691" s="228" t="s">
        <v>1779</v>
      </c>
      <c r="E691" s="229" t="s">
        <v>2157</v>
      </c>
      <c r="F691" s="259">
        <v>183614.96</v>
      </c>
    </row>
    <row r="692" spans="2:6" x14ac:dyDescent="0.25">
      <c r="B692" s="258">
        <v>45240</v>
      </c>
      <c r="C692" s="227" t="s">
        <v>1809</v>
      </c>
      <c r="D692" s="228" t="s">
        <v>1779</v>
      </c>
      <c r="E692" s="229" t="s">
        <v>2183</v>
      </c>
      <c r="F692" s="259">
        <v>44143.8</v>
      </c>
    </row>
    <row r="693" spans="2:6" x14ac:dyDescent="0.25">
      <c r="B693" s="258">
        <v>45252</v>
      </c>
      <c r="C693" s="227" t="s">
        <v>1830</v>
      </c>
      <c r="D693" s="228" t="s">
        <v>1779</v>
      </c>
      <c r="E693" s="229" t="s">
        <v>1792</v>
      </c>
      <c r="F693" s="259">
        <v>82189.36</v>
      </c>
    </row>
    <row r="694" spans="2:6" x14ac:dyDescent="0.25">
      <c r="B694" s="258">
        <v>45301</v>
      </c>
      <c r="C694" s="227" t="s">
        <v>2500</v>
      </c>
      <c r="D694" s="228" t="s">
        <v>1779</v>
      </c>
      <c r="E694" s="229" t="s">
        <v>1792</v>
      </c>
      <c r="F694" s="259">
        <v>984228.56</v>
      </c>
    </row>
    <row r="695" spans="2:6" x14ac:dyDescent="0.25">
      <c r="B695" s="258">
        <v>45306</v>
      </c>
      <c r="C695" s="227" t="s">
        <v>2501</v>
      </c>
      <c r="D695" s="228" t="s">
        <v>1779</v>
      </c>
      <c r="E695" s="229" t="s">
        <v>1334</v>
      </c>
      <c r="F695" s="259">
        <v>234117.9</v>
      </c>
    </row>
    <row r="696" spans="2:6" x14ac:dyDescent="0.25">
      <c r="B696" s="258">
        <v>45306</v>
      </c>
      <c r="C696" s="227" t="s">
        <v>1831</v>
      </c>
      <c r="D696" s="228" t="s">
        <v>1779</v>
      </c>
      <c r="E696" s="229" t="s">
        <v>2502</v>
      </c>
      <c r="F696" s="259">
        <v>425932.79999999999</v>
      </c>
    </row>
    <row r="697" spans="2:6" x14ac:dyDescent="0.25">
      <c r="B697" s="258">
        <v>45211</v>
      </c>
      <c r="C697" s="227" t="s">
        <v>2184</v>
      </c>
      <c r="D697" s="228" t="s">
        <v>2344</v>
      </c>
      <c r="E697" s="229" t="s">
        <v>2185</v>
      </c>
      <c r="F697" s="259">
        <v>708000</v>
      </c>
    </row>
    <row r="698" spans="2:6" x14ac:dyDescent="0.25">
      <c r="B698" s="258">
        <v>45006</v>
      </c>
      <c r="C698" s="227" t="s">
        <v>1798</v>
      </c>
      <c r="D698" s="228" t="s">
        <v>1799</v>
      </c>
      <c r="E698" s="229" t="s">
        <v>1800</v>
      </c>
      <c r="F698" s="259">
        <v>281541.51</v>
      </c>
    </row>
    <row r="699" spans="2:6" x14ac:dyDescent="0.25">
      <c r="B699" s="258">
        <v>45142</v>
      </c>
      <c r="C699" s="227" t="s">
        <v>1801</v>
      </c>
      <c r="D699" s="228" t="s">
        <v>2503</v>
      </c>
      <c r="E699" s="229" t="s">
        <v>1802</v>
      </c>
      <c r="F699" s="259">
        <v>1427800</v>
      </c>
    </row>
    <row r="700" spans="2:6" x14ac:dyDescent="0.25">
      <c r="B700" s="258">
        <v>45278</v>
      </c>
      <c r="C700" s="227" t="s">
        <v>2345</v>
      </c>
      <c r="D700" s="228" t="s">
        <v>2503</v>
      </c>
      <c r="E700" s="229" t="s">
        <v>1773</v>
      </c>
      <c r="F700" s="259">
        <v>111481.68</v>
      </c>
    </row>
    <row r="701" spans="2:6" x14ac:dyDescent="0.25">
      <c r="B701" s="258">
        <v>45300</v>
      </c>
      <c r="C701" s="227" t="s">
        <v>2504</v>
      </c>
      <c r="D701" s="228" t="s">
        <v>2503</v>
      </c>
      <c r="E701" s="229" t="s">
        <v>1279</v>
      </c>
      <c r="F701" s="259">
        <v>1542850</v>
      </c>
    </row>
    <row r="702" spans="2:6" x14ac:dyDescent="0.25">
      <c r="B702" s="258">
        <v>44652</v>
      </c>
      <c r="C702" s="231" t="s">
        <v>1803</v>
      </c>
      <c r="D702" s="228" t="s">
        <v>1804</v>
      </c>
      <c r="E702" s="232" t="s">
        <v>1279</v>
      </c>
      <c r="F702" s="260">
        <v>1500</v>
      </c>
    </row>
    <row r="703" spans="2:6" x14ac:dyDescent="0.25">
      <c r="B703" s="258">
        <v>44705</v>
      </c>
      <c r="C703" s="231" t="s">
        <v>1805</v>
      </c>
      <c r="D703" s="228" t="s">
        <v>1804</v>
      </c>
      <c r="E703" s="232" t="s">
        <v>1279</v>
      </c>
      <c r="F703" s="260">
        <v>24500</v>
      </c>
    </row>
    <row r="704" spans="2:6" x14ac:dyDescent="0.25">
      <c r="B704" s="258">
        <v>45077</v>
      </c>
      <c r="C704" s="227" t="s">
        <v>1806</v>
      </c>
      <c r="D704" s="228" t="s">
        <v>1804</v>
      </c>
      <c r="E704" s="229" t="s">
        <v>1279</v>
      </c>
      <c r="F704" s="259">
        <v>987332</v>
      </c>
    </row>
    <row r="705" spans="2:6" x14ac:dyDescent="0.25">
      <c r="B705" s="258">
        <v>45103</v>
      </c>
      <c r="C705" s="227" t="s">
        <v>1807</v>
      </c>
      <c r="D705" s="228" t="s">
        <v>1804</v>
      </c>
      <c r="E705" s="229" t="s">
        <v>1279</v>
      </c>
      <c r="F705" s="259">
        <v>293395.20000000001</v>
      </c>
    </row>
    <row r="706" spans="2:6" x14ac:dyDescent="0.25">
      <c r="B706" s="258">
        <v>45162</v>
      </c>
      <c r="C706" s="227" t="s">
        <v>1808</v>
      </c>
      <c r="D706" s="228" t="s">
        <v>1804</v>
      </c>
      <c r="E706" s="229" t="s">
        <v>1279</v>
      </c>
      <c r="F706" s="259">
        <v>972640</v>
      </c>
    </row>
    <row r="707" spans="2:6" x14ac:dyDescent="0.25">
      <c r="B707" s="258">
        <v>45208</v>
      </c>
      <c r="C707" s="227" t="s">
        <v>2186</v>
      </c>
      <c r="D707" s="228" t="s">
        <v>1804</v>
      </c>
      <c r="E707" s="229" t="s">
        <v>1275</v>
      </c>
      <c r="F707" s="259">
        <v>280950</v>
      </c>
    </row>
    <row r="708" spans="2:6" x14ac:dyDescent="0.25">
      <c r="B708" s="258">
        <v>45227</v>
      </c>
      <c r="C708" s="227" t="s">
        <v>2187</v>
      </c>
      <c r="D708" s="228" t="s">
        <v>1804</v>
      </c>
      <c r="E708" s="229" t="s">
        <v>1279</v>
      </c>
      <c r="F708" s="259">
        <v>826000</v>
      </c>
    </row>
    <row r="709" spans="2:6" x14ac:dyDescent="0.25">
      <c r="B709" s="258">
        <v>45253</v>
      </c>
      <c r="C709" s="227" t="s">
        <v>2188</v>
      </c>
      <c r="D709" s="228" t="s">
        <v>1804</v>
      </c>
      <c r="E709" s="229" t="s">
        <v>1275</v>
      </c>
      <c r="F709" s="259">
        <v>156362</v>
      </c>
    </row>
    <row r="710" spans="2:6" x14ac:dyDescent="0.25">
      <c r="B710" s="258">
        <v>45274</v>
      </c>
      <c r="C710" s="227" t="s">
        <v>2346</v>
      </c>
      <c r="D710" s="228" t="s">
        <v>1804</v>
      </c>
      <c r="E710" s="229" t="s">
        <v>1263</v>
      </c>
      <c r="F710" s="259">
        <v>58000</v>
      </c>
    </row>
    <row r="711" spans="2:6" x14ac:dyDescent="0.25">
      <c r="B711" s="258">
        <v>45274</v>
      </c>
      <c r="C711" s="227" t="s">
        <v>2347</v>
      </c>
      <c r="D711" s="228" t="s">
        <v>1804</v>
      </c>
      <c r="E711" s="229" t="s">
        <v>1279</v>
      </c>
      <c r="F711" s="259">
        <v>142905.94</v>
      </c>
    </row>
    <row r="712" spans="2:6" x14ac:dyDescent="0.25">
      <c r="B712" s="258">
        <v>45274</v>
      </c>
      <c r="C712" s="227" t="s">
        <v>2348</v>
      </c>
      <c r="D712" s="228" t="s">
        <v>1804</v>
      </c>
      <c r="E712" s="229" t="s">
        <v>1279</v>
      </c>
      <c r="F712" s="259">
        <v>103084.8</v>
      </c>
    </row>
    <row r="713" spans="2:6" x14ac:dyDescent="0.25">
      <c r="B713" s="258">
        <v>45099</v>
      </c>
      <c r="C713" s="227" t="s">
        <v>1811</v>
      </c>
      <c r="D713" s="228" t="s">
        <v>1810</v>
      </c>
      <c r="E713" s="229" t="s">
        <v>1263</v>
      </c>
      <c r="F713" s="259">
        <v>679500</v>
      </c>
    </row>
    <row r="714" spans="2:6" x14ac:dyDescent="0.25">
      <c r="B714" s="258">
        <v>45209</v>
      </c>
      <c r="C714" s="227" t="s">
        <v>2189</v>
      </c>
      <c r="D714" s="228" t="s">
        <v>1810</v>
      </c>
      <c r="E714" s="229" t="s">
        <v>1275</v>
      </c>
      <c r="F714" s="259">
        <v>56640</v>
      </c>
    </row>
    <row r="715" spans="2:6" x14ac:dyDescent="0.25">
      <c r="B715" s="258">
        <v>45226</v>
      </c>
      <c r="C715" s="227" t="s">
        <v>2190</v>
      </c>
      <c r="D715" s="228" t="s">
        <v>1810</v>
      </c>
      <c r="E715" s="229" t="s">
        <v>1275</v>
      </c>
      <c r="F715" s="259">
        <v>148000</v>
      </c>
    </row>
    <row r="716" spans="2:6" x14ac:dyDescent="0.25">
      <c r="B716" s="258">
        <v>45264</v>
      </c>
      <c r="C716" s="227" t="s">
        <v>2349</v>
      </c>
      <c r="D716" s="228" t="s">
        <v>1810</v>
      </c>
      <c r="E716" s="229" t="s">
        <v>1275</v>
      </c>
      <c r="F716" s="259">
        <v>1080000</v>
      </c>
    </row>
    <row r="717" spans="2:6" x14ac:dyDescent="0.25">
      <c r="B717" s="258">
        <v>45267</v>
      </c>
      <c r="C717" s="227" t="s">
        <v>2350</v>
      </c>
      <c r="D717" s="228" t="s">
        <v>1810</v>
      </c>
      <c r="E717" s="229" t="s">
        <v>1275</v>
      </c>
      <c r="F717" s="259">
        <v>287034</v>
      </c>
    </row>
    <row r="718" spans="2:6" x14ac:dyDescent="0.25">
      <c r="B718" s="258">
        <v>45273</v>
      </c>
      <c r="C718" s="227" t="s">
        <v>2351</v>
      </c>
      <c r="D718" s="228" t="s">
        <v>1810</v>
      </c>
      <c r="E718" s="229" t="s">
        <v>1263</v>
      </c>
      <c r="F718" s="259">
        <v>568000</v>
      </c>
    </row>
    <row r="719" spans="2:6" x14ac:dyDescent="0.25">
      <c r="B719" s="258">
        <v>44105</v>
      </c>
      <c r="C719" s="231" t="s">
        <v>1813</v>
      </c>
      <c r="D719" s="228" t="s">
        <v>1814</v>
      </c>
      <c r="E719" s="229" t="s">
        <v>1815</v>
      </c>
      <c r="F719" s="259">
        <v>265859.73</v>
      </c>
    </row>
    <row r="720" spans="2:6" x14ac:dyDescent="0.25">
      <c r="B720" s="258">
        <v>44116</v>
      </c>
      <c r="C720" s="231" t="s">
        <v>1816</v>
      </c>
      <c r="D720" s="228" t="s">
        <v>1814</v>
      </c>
      <c r="E720" s="229" t="s">
        <v>1815</v>
      </c>
      <c r="F720" s="259">
        <v>10310</v>
      </c>
    </row>
    <row r="721" spans="2:6" x14ac:dyDescent="0.25">
      <c r="B721" s="258">
        <v>44124</v>
      </c>
      <c r="C721" s="231" t="s">
        <v>1817</v>
      </c>
      <c r="D721" s="228" t="s">
        <v>1814</v>
      </c>
      <c r="E721" s="229" t="s">
        <v>1815</v>
      </c>
      <c r="F721" s="259">
        <v>48042.94</v>
      </c>
    </row>
    <row r="722" spans="2:6" x14ac:dyDescent="0.25">
      <c r="B722" s="258">
        <v>44126</v>
      </c>
      <c r="C722" s="231" t="s">
        <v>1818</v>
      </c>
      <c r="D722" s="228" t="s">
        <v>1814</v>
      </c>
      <c r="E722" s="229" t="s">
        <v>1815</v>
      </c>
      <c r="F722" s="259">
        <v>219230.6</v>
      </c>
    </row>
    <row r="723" spans="2:6" x14ac:dyDescent="0.25">
      <c r="B723" s="258">
        <v>44629</v>
      </c>
      <c r="C723" s="231" t="s">
        <v>1819</v>
      </c>
      <c r="D723" s="228" t="s">
        <v>1820</v>
      </c>
      <c r="E723" s="229" t="s">
        <v>1821</v>
      </c>
      <c r="F723" s="259">
        <v>6230.4</v>
      </c>
    </row>
    <row r="724" spans="2:6" x14ac:dyDescent="0.25">
      <c r="B724" s="258">
        <v>45261</v>
      </c>
      <c r="C724" s="227" t="s">
        <v>2352</v>
      </c>
      <c r="D724" s="228" t="s">
        <v>1820</v>
      </c>
      <c r="E724" s="229" t="s">
        <v>1787</v>
      </c>
      <c r="F724" s="259">
        <v>179006</v>
      </c>
    </row>
    <row r="725" spans="2:6" x14ac:dyDescent="0.25">
      <c r="B725" s="258">
        <v>45271</v>
      </c>
      <c r="C725" s="227" t="s">
        <v>2353</v>
      </c>
      <c r="D725" s="228" t="s">
        <v>1820</v>
      </c>
      <c r="E725" s="229" t="s">
        <v>1787</v>
      </c>
      <c r="F725" s="259">
        <v>223940.4</v>
      </c>
    </row>
    <row r="726" spans="2:6" x14ac:dyDescent="0.25">
      <c r="B726" s="258">
        <v>45155</v>
      </c>
      <c r="C726" s="227" t="s">
        <v>1825</v>
      </c>
      <c r="D726" s="228" t="s">
        <v>2191</v>
      </c>
      <c r="E726" s="229" t="s">
        <v>1826</v>
      </c>
      <c r="F726" s="259">
        <v>221250</v>
      </c>
    </row>
    <row r="727" spans="2:6" x14ac:dyDescent="0.25">
      <c r="B727" s="258">
        <v>45210</v>
      </c>
      <c r="C727" s="227" t="s">
        <v>1399</v>
      </c>
      <c r="D727" s="228" t="s">
        <v>2191</v>
      </c>
      <c r="E727" s="229" t="s">
        <v>2192</v>
      </c>
      <c r="F727" s="259">
        <v>23600</v>
      </c>
    </row>
    <row r="728" spans="2:6" x14ac:dyDescent="0.25">
      <c r="B728" s="258">
        <v>45260</v>
      </c>
      <c r="C728" s="227" t="s">
        <v>2354</v>
      </c>
      <c r="D728" s="228" t="s">
        <v>2191</v>
      </c>
      <c r="E728" s="229" t="s">
        <v>1823</v>
      </c>
      <c r="F728" s="259">
        <v>224790</v>
      </c>
    </row>
    <row r="729" spans="2:6" x14ac:dyDescent="0.25">
      <c r="B729" s="258">
        <v>45083</v>
      </c>
      <c r="C729" s="227" t="s">
        <v>1577</v>
      </c>
      <c r="D729" s="228" t="s">
        <v>1822</v>
      </c>
      <c r="E729" s="229" t="s">
        <v>1279</v>
      </c>
      <c r="F729" s="259">
        <v>211456</v>
      </c>
    </row>
    <row r="730" spans="2:6" x14ac:dyDescent="0.25">
      <c r="B730" s="258">
        <v>45259</v>
      </c>
      <c r="C730" s="227" t="s">
        <v>1693</v>
      </c>
      <c r="D730" s="228" t="s">
        <v>2193</v>
      </c>
      <c r="E730" s="229" t="s">
        <v>1583</v>
      </c>
      <c r="F730" s="259">
        <v>224447.8</v>
      </c>
    </row>
    <row r="731" spans="2:6" x14ac:dyDescent="0.25">
      <c r="B731" s="258">
        <v>45296</v>
      </c>
      <c r="C731" s="227" t="s">
        <v>2505</v>
      </c>
      <c r="D731" s="228" t="s">
        <v>2193</v>
      </c>
      <c r="E731" s="229" t="s">
        <v>2506</v>
      </c>
      <c r="F731" s="259">
        <v>1120783.5900000001</v>
      </c>
    </row>
    <row r="732" spans="2:6" x14ac:dyDescent="0.25">
      <c r="B732" s="258">
        <v>45296</v>
      </c>
      <c r="C732" s="227" t="s">
        <v>1295</v>
      </c>
      <c r="D732" s="228" t="s">
        <v>2193</v>
      </c>
      <c r="E732" s="229" t="s">
        <v>2507</v>
      </c>
      <c r="F732" s="259">
        <v>175644.42</v>
      </c>
    </row>
    <row r="733" spans="2:6" x14ac:dyDescent="0.25">
      <c r="B733" s="258">
        <v>45036</v>
      </c>
      <c r="C733" s="227" t="s">
        <v>1828</v>
      </c>
      <c r="D733" s="228" t="s">
        <v>1827</v>
      </c>
      <c r="E733" s="229" t="s">
        <v>1279</v>
      </c>
      <c r="F733" s="259">
        <v>3471973</v>
      </c>
    </row>
    <row r="734" spans="2:6" x14ac:dyDescent="0.25">
      <c r="B734" s="258">
        <v>45126</v>
      </c>
      <c r="C734" s="227" t="s">
        <v>1830</v>
      </c>
      <c r="D734" s="228" t="s">
        <v>1827</v>
      </c>
      <c r="E734" s="229" t="s">
        <v>1279</v>
      </c>
      <c r="F734" s="259">
        <v>2315130.5</v>
      </c>
    </row>
    <row r="735" spans="2:6" x14ac:dyDescent="0.25">
      <c r="B735" s="258">
        <v>45128</v>
      </c>
      <c r="C735" s="227" t="s">
        <v>1831</v>
      </c>
      <c r="D735" s="228" t="s">
        <v>1827</v>
      </c>
      <c r="E735" s="229" t="s">
        <v>1279</v>
      </c>
      <c r="F735" s="259">
        <v>1187965</v>
      </c>
    </row>
    <row r="736" spans="2:6" x14ac:dyDescent="0.25">
      <c r="B736" s="258">
        <v>45148</v>
      </c>
      <c r="C736" s="227" t="s">
        <v>1812</v>
      </c>
      <c r="D736" s="228" t="s">
        <v>1827</v>
      </c>
      <c r="E736" s="229" t="s">
        <v>1316</v>
      </c>
      <c r="F736" s="259">
        <v>575250</v>
      </c>
    </row>
    <row r="737" spans="2:6" x14ac:dyDescent="0.25">
      <c r="B737" s="258">
        <v>45148</v>
      </c>
      <c r="C737" s="227" t="s">
        <v>1832</v>
      </c>
      <c r="D737" s="228" t="s">
        <v>1827</v>
      </c>
      <c r="E737" s="229" t="s">
        <v>1316</v>
      </c>
      <c r="F737" s="259">
        <v>900000</v>
      </c>
    </row>
    <row r="738" spans="2:6" x14ac:dyDescent="0.25">
      <c r="B738" s="258">
        <v>45229</v>
      </c>
      <c r="C738" s="227" t="s">
        <v>2194</v>
      </c>
      <c r="D738" s="228" t="s">
        <v>1827</v>
      </c>
      <c r="E738" s="229" t="s">
        <v>1279</v>
      </c>
      <c r="F738" s="259">
        <v>1200000</v>
      </c>
    </row>
    <row r="739" spans="2:6" x14ac:dyDescent="0.25">
      <c r="B739" s="258">
        <v>45254</v>
      </c>
      <c r="C739" s="227" t="s">
        <v>1824</v>
      </c>
      <c r="D739" s="228" t="s">
        <v>2195</v>
      </c>
      <c r="E739" s="229" t="s">
        <v>1400</v>
      </c>
      <c r="F739" s="259">
        <v>33000</v>
      </c>
    </row>
    <row r="740" spans="2:6" x14ac:dyDescent="0.25">
      <c r="B740" s="258">
        <v>45261</v>
      </c>
      <c r="C740" s="227" t="s">
        <v>2355</v>
      </c>
      <c r="D740" s="228" t="s">
        <v>2195</v>
      </c>
      <c r="E740" s="229" t="s">
        <v>1800</v>
      </c>
      <c r="F740" s="259">
        <v>587501.35</v>
      </c>
    </row>
    <row r="741" spans="2:6" x14ac:dyDescent="0.25">
      <c r="B741" s="258">
        <v>44305</v>
      </c>
      <c r="C741" s="231" t="s">
        <v>1833</v>
      </c>
      <c r="D741" s="228" t="s">
        <v>1834</v>
      </c>
      <c r="E741" s="229" t="s">
        <v>1835</v>
      </c>
      <c r="F741" s="259">
        <v>8000</v>
      </c>
    </row>
    <row r="742" spans="2:6" x14ac:dyDescent="0.25">
      <c r="B742" s="258">
        <v>44319</v>
      </c>
      <c r="C742" s="231" t="s">
        <v>1836</v>
      </c>
      <c r="D742" s="228" t="s">
        <v>1834</v>
      </c>
      <c r="E742" s="229" t="s">
        <v>1835</v>
      </c>
      <c r="F742" s="259">
        <v>8000</v>
      </c>
    </row>
    <row r="743" spans="2:6" x14ac:dyDescent="0.25">
      <c r="B743" s="258">
        <v>44334</v>
      </c>
      <c r="C743" s="231" t="s">
        <v>1837</v>
      </c>
      <c r="D743" s="228" t="s">
        <v>1834</v>
      </c>
      <c r="E743" s="229" t="s">
        <v>1835</v>
      </c>
      <c r="F743" s="259">
        <v>8000</v>
      </c>
    </row>
    <row r="744" spans="2:6" x14ac:dyDescent="0.25">
      <c r="B744" s="258">
        <v>44334</v>
      </c>
      <c r="C744" s="231" t="s">
        <v>1801</v>
      </c>
      <c r="D744" s="228" t="s">
        <v>1834</v>
      </c>
      <c r="E744" s="229" t="s">
        <v>1835</v>
      </c>
      <c r="F744" s="259">
        <v>8000</v>
      </c>
    </row>
    <row r="745" spans="2:6" x14ac:dyDescent="0.25">
      <c r="B745" s="258">
        <v>44351</v>
      </c>
      <c r="C745" s="231" t="s">
        <v>1838</v>
      </c>
      <c r="D745" s="228" t="s">
        <v>1834</v>
      </c>
      <c r="E745" s="229" t="s">
        <v>1835</v>
      </c>
      <c r="F745" s="259">
        <v>8000</v>
      </c>
    </row>
    <row r="746" spans="2:6" x14ac:dyDescent="0.25">
      <c r="B746" s="258">
        <v>44355</v>
      </c>
      <c r="C746" s="231" t="s">
        <v>1289</v>
      </c>
      <c r="D746" s="228" t="s">
        <v>1834</v>
      </c>
      <c r="E746" s="229" t="s">
        <v>1835</v>
      </c>
      <c r="F746" s="259">
        <v>8000</v>
      </c>
    </row>
    <row r="747" spans="2:6" x14ac:dyDescent="0.25">
      <c r="B747" s="258">
        <v>44364</v>
      </c>
      <c r="C747" s="231" t="s">
        <v>1839</v>
      </c>
      <c r="D747" s="228" t="s">
        <v>1834</v>
      </c>
      <c r="E747" s="229" t="s">
        <v>1835</v>
      </c>
      <c r="F747" s="259">
        <v>8000</v>
      </c>
    </row>
    <row r="748" spans="2:6" x14ac:dyDescent="0.25">
      <c r="B748" s="258">
        <v>44561</v>
      </c>
      <c r="C748" s="231" t="s">
        <v>1291</v>
      </c>
      <c r="D748" s="228" t="s">
        <v>1834</v>
      </c>
      <c r="E748" s="229" t="s">
        <v>1840</v>
      </c>
      <c r="F748" s="259">
        <v>8000</v>
      </c>
    </row>
    <row r="749" spans="2:6" x14ac:dyDescent="0.25">
      <c r="B749" s="258">
        <v>44650</v>
      </c>
      <c r="C749" s="231" t="s">
        <v>1841</v>
      </c>
      <c r="D749" s="228" t="s">
        <v>1842</v>
      </c>
      <c r="E749" s="229" t="s">
        <v>1309</v>
      </c>
      <c r="F749" s="259">
        <v>186195.24</v>
      </c>
    </row>
    <row r="750" spans="2:6" x14ac:dyDescent="0.25">
      <c r="B750" s="258">
        <v>44655</v>
      </c>
      <c r="C750" s="231" t="s">
        <v>1843</v>
      </c>
      <c r="D750" s="228" t="s">
        <v>1844</v>
      </c>
      <c r="E750" s="229" t="s">
        <v>1309</v>
      </c>
      <c r="F750" s="260">
        <v>52007.03</v>
      </c>
    </row>
    <row r="751" spans="2:6" x14ac:dyDescent="0.25">
      <c r="B751" s="258">
        <v>44987</v>
      </c>
      <c r="C751" s="227" t="s">
        <v>1845</v>
      </c>
      <c r="D751" s="228" t="s">
        <v>1842</v>
      </c>
      <c r="E751" s="229" t="s">
        <v>1275</v>
      </c>
      <c r="F751" s="259">
        <v>20408.849999999999</v>
      </c>
    </row>
    <row r="752" spans="2:6" x14ac:dyDescent="0.25">
      <c r="B752" s="258">
        <v>45026</v>
      </c>
      <c r="C752" s="227" t="s">
        <v>1846</v>
      </c>
      <c r="D752" s="228" t="s">
        <v>1844</v>
      </c>
      <c r="E752" s="229" t="s">
        <v>1275</v>
      </c>
      <c r="F752" s="259">
        <v>20408.849999999999</v>
      </c>
    </row>
    <row r="753" spans="2:6" x14ac:dyDescent="0.25">
      <c r="B753" s="258">
        <v>45041</v>
      </c>
      <c r="C753" s="227" t="s">
        <v>1847</v>
      </c>
      <c r="D753" s="228" t="s">
        <v>1844</v>
      </c>
      <c r="E753" s="229" t="s">
        <v>1275</v>
      </c>
      <c r="F753" s="259">
        <v>380000</v>
      </c>
    </row>
    <row r="754" spans="2:6" x14ac:dyDescent="0.25">
      <c r="B754" s="258">
        <v>45055</v>
      </c>
      <c r="C754" s="227" t="s">
        <v>1848</v>
      </c>
      <c r="D754" s="228" t="s">
        <v>1844</v>
      </c>
      <c r="E754" s="229" t="s">
        <v>1275</v>
      </c>
      <c r="F754" s="259">
        <v>42740</v>
      </c>
    </row>
    <row r="755" spans="2:6" x14ac:dyDescent="0.25">
      <c r="B755" s="258">
        <v>45055</v>
      </c>
      <c r="C755" s="227" t="s">
        <v>1849</v>
      </c>
      <c r="D755" s="228" t="s">
        <v>1844</v>
      </c>
      <c r="E755" s="229" t="s">
        <v>1275</v>
      </c>
      <c r="F755" s="259">
        <v>538085.96</v>
      </c>
    </row>
    <row r="756" spans="2:6" x14ac:dyDescent="0.25">
      <c r="B756" s="258">
        <v>45055</v>
      </c>
      <c r="C756" s="227" t="s">
        <v>1850</v>
      </c>
      <c r="D756" s="228" t="s">
        <v>1844</v>
      </c>
      <c r="E756" s="229" t="s">
        <v>1275</v>
      </c>
      <c r="F756" s="259">
        <v>46123.56</v>
      </c>
    </row>
    <row r="757" spans="2:6" x14ac:dyDescent="0.25">
      <c r="B757" s="258">
        <v>45055</v>
      </c>
      <c r="C757" s="227" t="s">
        <v>1851</v>
      </c>
      <c r="D757" s="228" t="s">
        <v>1844</v>
      </c>
      <c r="E757" s="229" t="s">
        <v>1263</v>
      </c>
      <c r="F757" s="259">
        <v>475809.97</v>
      </c>
    </row>
    <row r="758" spans="2:6" x14ac:dyDescent="0.25">
      <c r="B758" s="258">
        <v>45063</v>
      </c>
      <c r="C758" s="227" t="s">
        <v>2196</v>
      </c>
      <c r="D758" s="228" t="s">
        <v>1844</v>
      </c>
      <c r="E758" s="229" t="s">
        <v>1275</v>
      </c>
      <c r="F758" s="259">
        <v>2156014.86</v>
      </c>
    </row>
    <row r="759" spans="2:6" x14ac:dyDescent="0.25">
      <c r="B759" s="258">
        <v>45065</v>
      </c>
      <c r="C759" s="227" t="s">
        <v>1852</v>
      </c>
      <c r="D759" s="228" t="s">
        <v>1844</v>
      </c>
      <c r="E759" s="229" t="s">
        <v>1275</v>
      </c>
      <c r="F759" s="259">
        <v>963434.1</v>
      </c>
    </row>
    <row r="760" spans="2:6" x14ac:dyDescent="0.25">
      <c r="B760" s="258">
        <v>45086</v>
      </c>
      <c r="C760" s="227" t="s">
        <v>1853</v>
      </c>
      <c r="D760" s="228" t="s">
        <v>1844</v>
      </c>
      <c r="E760" s="229" t="s">
        <v>1263</v>
      </c>
      <c r="F760" s="259">
        <v>54194.34</v>
      </c>
    </row>
    <row r="761" spans="2:6" x14ac:dyDescent="0.25">
      <c r="B761" s="258">
        <v>45105</v>
      </c>
      <c r="C761" s="227" t="s">
        <v>1854</v>
      </c>
      <c r="D761" s="228" t="s">
        <v>1844</v>
      </c>
      <c r="E761" s="229" t="s">
        <v>1263</v>
      </c>
      <c r="F761" s="259">
        <v>324368.7</v>
      </c>
    </row>
    <row r="762" spans="2:6" x14ac:dyDescent="0.25">
      <c r="B762" s="258">
        <v>45107</v>
      </c>
      <c r="C762" s="227" t="s">
        <v>1855</v>
      </c>
      <c r="D762" s="228" t="s">
        <v>1844</v>
      </c>
      <c r="E762" s="229" t="s">
        <v>1263</v>
      </c>
      <c r="F762" s="259">
        <v>324365.08</v>
      </c>
    </row>
    <row r="763" spans="2:6" x14ac:dyDescent="0.25">
      <c r="B763" s="258">
        <v>45121</v>
      </c>
      <c r="C763" s="227" t="s">
        <v>1856</v>
      </c>
      <c r="D763" s="228" t="s">
        <v>1844</v>
      </c>
      <c r="E763" s="229" t="s">
        <v>1279</v>
      </c>
      <c r="F763" s="259">
        <v>1078930</v>
      </c>
    </row>
    <row r="764" spans="2:6" x14ac:dyDescent="0.25">
      <c r="B764" s="258">
        <v>45127</v>
      </c>
      <c r="C764" s="227" t="s">
        <v>1857</v>
      </c>
      <c r="D764" s="228" t="s">
        <v>1844</v>
      </c>
      <c r="E764" s="229" t="s">
        <v>1275</v>
      </c>
      <c r="F764" s="259">
        <v>97864.6</v>
      </c>
    </row>
    <row r="765" spans="2:6" x14ac:dyDescent="0.25">
      <c r="B765" s="258">
        <v>45135</v>
      </c>
      <c r="C765" s="227" t="s">
        <v>1858</v>
      </c>
      <c r="D765" s="228" t="s">
        <v>1844</v>
      </c>
      <c r="E765" s="229" t="s">
        <v>1275</v>
      </c>
      <c r="F765" s="259">
        <v>2092476.68</v>
      </c>
    </row>
    <row r="766" spans="2:6" x14ac:dyDescent="0.25">
      <c r="B766" s="258">
        <v>45155</v>
      </c>
      <c r="C766" s="227" t="s">
        <v>1859</v>
      </c>
      <c r="D766" s="228" t="s">
        <v>1844</v>
      </c>
      <c r="E766" s="229" t="s">
        <v>1275</v>
      </c>
      <c r="F766" s="259">
        <v>1087109.25</v>
      </c>
    </row>
    <row r="767" spans="2:6" x14ac:dyDescent="0.25">
      <c r="B767" s="258">
        <v>45156</v>
      </c>
      <c r="C767" s="227" t="s">
        <v>1860</v>
      </c>
      <c r="D767" s="228" t="s">
        <v>1844</v>
      </c>
      <c r="E767" s="229" t="s">
        <v>1263</v>
      </c>
      <c r="F767" s="259">
        <v>23270</v>
      </c>
    </row>
    <row r="768" spans="2:6" x14ac:dyDescent="0.25">
      <c r="B768" s="258">
        <v>45202</v>
      </c>
      <c r="C768" s="227" t="s">
        <v>2197</v>
      </c>
      <c r="D768" s="228" t="s">
        <v>1844</v>
      </c>
      <c r="E768" s="229" t="s">
        <v>1279</v>
      </c>
      <c r="F768" s="259">
        <v>2993.66</v>
      </c>
    </row>
    <row r="769" spans="2:6" x14ac:dyDescent="0.25">
      <c r="B769" s="258">
        <v>45211</v>
      </c>
      <c r="C769" s="227" t="s">
        <v>2198</v>
      </c>
      <c r="D769" s="228" t="s">
        <v>1844</v>
      </c>
      <c r="E769" s="229" t="s">
        <v>1275</v>
      </c>
      <c r="F769" s="259">
        <v>1535098.76</v>
      </c>
    </row>
    <row r="770" spans="2:6" x14ac:dyDescent="0.25">
      <c r="B770" s="258">
        <v>45225</v>
      </c>
      <c r="C770" s="227" t="s">
        <v>2199</v>
      </c>
      <c r="D770" s="228" t="s">
        <v>1844</v>
      </c>
      <c r="E770" s="229" t="s">
        <v>1275</v>
      </c>
      <c r="F770" s="259">
        <v>95000</v>
      </c>
    </row>
    <row r="771" spans="2:6" x14ac:dyDescent="0.25">
      <c r="B771" s="258">
        <v>45225</v>
      </c>
      <c r="C771" s="227" t="s">
        <v>2200</v>
      </c>
      <c r="D771" s="228" t="s">
        <v>1844</v>
      </c>
      <c r="E771" s="229" t="s">
        <v>1275</v>
      </c>
      <c r="F771" s="259">
        <v>921605.74</v>
      </c>
    </row>
    <row r="772" spans="2:6" x14ac:dyDescent="0.25">
      <c r="B772" s="258">
        <v>45230</v>
      </c>
      <c r="C772" s="227" t="s">
        <v>2201</v>
      </c>
      <c r="D772" s="228" t="s">
        <v>1844</v>
      </c>
      <c r="E772" s="229" t="s">
        <v>1275</v>
      </c>
      <c r="F772" s="259">
        <v>232000</v>
      </c>
    </row>
    <row r="773" spans="2:6" x14ac:dyDescent="0.25">
      <c r="B773" s="258">
        <v>45239</v>
      </c>
      <c r="C773" s="227" t="s">
        <v>2202</v>
      </c>
      <c r="D773" s="228" t="s">
        <v>1844</v>
      </c>
      <c r="E773" s="229" t="s">
        <v>1275</v>
      </c>
      <c r="F773" s="259">
        <v>84061.95</v>
      </c>
    </row>
    <row r="774" spans="2:6" x14ac:dyDescent="0.25">
      <c r="B774" s="258">
        <v>45246</v>
      </c>
      <c r="C774" s="227" t="s">
        <v>2203</v>
      </c>
      <c r="D774" s="228" t="s">
        <v>1844</v>
      </c>
      <c r="E774" s="229" t="s">
        <v>1275</v>
      </c>
      <c r="F774" s="259">
        <v>286775.74</v>
      </c>
    </row>
    <row r="775" spans="2:6" x14ac:dyDescent="0.25">
      <c r="B775" s="258">
        <v>45247</v>
      </c>
      <c r="C775" s="227" t="s">
        <v>2204</v>
      </c>
      <c r="D775" s="228" t="s">
        <v>1844</v>
      </c>
      <c r="E775" s="229" t="s">
        <v>1263</v>
      </c>
      <c r="F775" s="259">
        <v>409500</v>
      </c>
    </row>
    <row r="776" spans="2:6" x14ac:dyDescent="0.25">
      <c r="B776" s="258">
        <v>45251</v>
      </c>
      <c r="C776" s="227" t="s">
        <v>2205</v>
      </c>
      <c r="D776" s="228" t="s">
        <v>1844</v>
      </c>
      <c r="E776" s="229" t="s">
        <v>1263</v>
      </c>
      <c r="F776" s="259">
        <v>95000</v>
      </c>
    </row>
    <row r="777" spans="2:6" x14ac:dyDescent="0.25">
      <c r="B777" s="258">
        <v>45259</v>
      </c>
      <c r="C777" s="227" t="s">
        <v>2356</v>
      </c>
      <c r="D777" s="228" t="s">
        <v>1844</v>
      </c>
      <c r="E777" s="229" t="s">
        <v>1275</v>
      </c>
      <c r="F777" s="259">
        <v>42301.98</v>
      </c>
    </row>
    <row r="778" spans="2:6" x14ac:dyDescent="0.25">
      <c r="B778" s="258">
        <v>45259</v>
      </c>
      <c r="C778" s="227" t="s">
        <v>2357</v>
      </c>
      <c r="D778" s="228" t="s">
        <v>2358</v>
      </c>
      <c r="E778" s="229" t="s">
        <v>1263</v>
      </c>
      <c r="F778" s="259">
        <v>19323</v>
      </c>
    </row>
    <row r="779" spans="2:6" x14ac:dyDescent="0.25">
      <c r="B779" s="258">
        <v>45261</v>
      </c>
      <c r="C779" s="227" t="s">
        <v>2359</v>
      </c>
      <c r="D779" s="228" t="s">
        <v>1844</v>
      </c>
      <c r="E779" s="229" t="s">
        <v>1275</v>
      </c>
      <c r="F779" s="259">
        <v>77011.62</v>
      </c>
    </row>
    <row r="780" spans="2:6" x14ac:dyDescent="0.25">
      <c r="B780" s="258">
        <v>45268</v>
      </c>
      <c r="C780" s="227" t="s">
        <v>2360</v>
      </c>
      <c r="D780" s="228" t="s">
        <v>2358</v>
      </c>
      <c r="E780" s="229" t="s">
        <v>1316</v>
      </c>
      <c r="F780" s="259">
        <v>2212657.9500000002</v>
      </c>
    </row>
    <row r="781" spans="2:6" x14ac:dyDescent="0.25">
      <c r="B781" s="258">
        <v>45273</v>
      </c>
      <c r="C781" s="227" t="s">
        <v>2361</v>
      </c>
      <c r="D781" s="228" t="s">
        <v>1844</v>
      </c>
      <c r="E781" s="229" t="s">
        <v>1263</v>
      </c>
      <c r="F781" s="259">
        <v>64055.88</v>
      </c>
    </row>
    <row r="782" spans="2:6" x14ac:dyDescent="0.25">
      <c r="B782" s="258">
        <v>45274</v>
      </c>
      <c r="C782" s="227" t="s">
        <v>2362</v>
      </c>
      <c r="D782" s="228" t="s">
        <v>1844</v>
      </c>
      <c r="E782" s="229" t="s">
        <v>1279</v>
      </c>
      <c r="F782" s="259">
        <v>29343.06</v>
      </c>
    </row>
    <row r="783" spans="2:6" x14ac:dyDescent="0.25">
      <c r="B783" s="258">
        <v>45309</v>
      </c>
      <c r="C783" s="227" t="s">
        <v>2508</v>
      </c>
      <c r="D783" s="228" t="s">
        <v>1844</v>
      </c>
      <c r="E783" s="229" t="s">
        <v>1279</v>
      </c>
      <c r="F783" s="259">
        <v>101305.89</v>
      </c>
    </row>
    <row r="784" spans="2:6" x14ac:dyDescent="0.25">
      <c r="B784" s="258">
        <v>45316</v>
      </c>
      <c r="C784" s="227" t="s">
        <v>2509</v>
      </c>
      <c r="D784" s="228" t="s">
        <v>1842</v>
      </c>
      <c r="E784" s="229" t="s">
        <v>1263</v>
      </c>
      <c r="F784" s="259">
        <v>610457.4</v>
      </c>
    </row>
    <row r="785" spans="2:6" x14ac:dyDescent="0.25">
      <c r="B785" s="258">
        <v>45268</v>
      </c>
      <c r="C785" s="227" t="s">
        <v>2363</v>
      </c>
      <c r="D785" s="228" t="s">
        <v>2364</v>
      </c>
      <c r="E785" s="229" t="s">
        <v>2365</v>
      </c>
      <c r="F785" s="259">
        <v>42480</v>
      </c>
    </row>
    <row r="786" spans="2:6" x14ac:dyDescent="0.25">
      <c r="B786" s="258">
        <v>45310</v>
      </c>
      <c r="C786" s="227" t="s">
        <v>2510</v>
      </c>
      <c r="D786" s="228" t="s">
        <v>2364</v>
      </c>
      <c r="E786" s="229" t="s">
        <v>1334</v>
      </c>
      <c r="F786" s="259">
        <v>43000</v>
      </c>
    </row>
    <row r="787" spans="2:6" x14ac:dyDescent="0.25">
      <c r="B787" s="258">
        <v>45209</v>
      </c>
      <c r="C787" s="227" t="s">
        <v>1580</v>
      </c>
      <c r="D787" s="228" t="s">
        <v>2206</v>
      </c>
      <c r="E787" s="229" t="s">
        <v>1337</v>
      </c>
      <c r="F787" s="259">
        <v>86535.3</v>
      </c>
    </row>
    <row r="788" spans="2:6" x14ac:dyDescent="0.25">
      <c r="B788" s="258">
        <v>44162</v>
      </c>
      <c r="C788" s="231" t="s">
        <v>1364</v>
      </c>
      <c r="D788" s="228" t="s">
        <v>1861</v>
      </c>
      <c r="E788" s="232" t="s">
        <v>1263</v>
      </c>
      <c r="F788" s="260">
        <v>154800</v>
      </c>
    </row>
    <row r="789" spans="2:6" x14ac:dyDescent="0.25">
      <c r="B789" s="258">
        <v>45250</v>
      </c>
      <c r="C789" s="227" t="s">
        <v>2207</v>
      </c>
      <c r="D789" s="228" t="s">
        <v>1862</v>
      </c>
      <c r="E789" s="229" t="s">
        <v>2208</v>
      </c>
      <c r="F789" s="259">
        <v>123900</v>
      </c>
    </row>
    <row r="790" spans="2:6" x14ac:dyDescent="0.25">
      <c r="B790" s="258">
        <v>45273</v>
      </c>
      <c r="C790" s="227" t="s">
        <v>2366</v>
      </c>
      <c r="D790" s="228" t="s">
        <v>1862</v>
      </c>
      <c r="E790" s="229" t="s">
        <v>2208</v>
      </c>
      <c r="F790" s="259">
        <v>123900</v>
      </c>
    </row>
    <row r="791" spans="2:6" x14ac:dyDescent="0.25">
      <c r="B791" s="258">
        <v>45061</v>
      </c>
      <c r="C791" s="227" t="s">
        <v>1863</v>
      </c>
      <c r="D791" s="228" t="s">
        <v>1864</v>
      </c>
      <c r="E791" s="229" t="s">
        <v>1865</v>
      </c>
      <c r="F791" s="259">
        <v>119550</v>
      </c>
    </row>
    <row r="792" spans="2:6" x14ac:dyDescent="0.25">
      <c r="B792" s="258">
        <v>45149</v>
      </c>
      <c r="C792" s="227" t="s">
        <v>1866</v>
      </c>
      <c r="D792" s="228" t="s">
        <v>1864</v>
      </c>
      <c r="E792" s="229" t="s">
        <v>1867</v>
      </c>
      <c r="F792" s="259">
        <v>119550</v>
      </c>
    </row>
    <row r="793" spans="2:6" ht="15.75" thickBot="1" x14ac:dyDescent="0.3">
      <c r="B793" s="303"/>
      <c r="C793" s="304"/>
      <c r="D793" s="305"/>
      <c r="E793" s="306"/>
      <c r="F793" s="307"/>
    </row>
    <row r="794" spans="2:6" ht="15.75" thickBot="1" x14ac:dyDescent="0.3">
      <c r="B794" s="308"/>
      <c r="C794" s="309"/>
      <c r="D794" s="309"/>
      <c r="E794" s="309" t="s">
        <v>2367</v>
      </c>
      <c r="F794" s="310">
        <f>SUM(F14:F793)</f>
        <v>270165619.79999995</v>
      </c>
    </row>
    <row r="804" spans="2:5" x14ac:dyDescent="0.25">
      <c r="B804" s="17" t="s">
        <v>2368</v>
      </c>
      <c r="E804" s="17" t="s">
        <v>1868</v>
      </c>
    </row>
    <row r="805" spans="2:5" x14ac:dyDescent="0.25">
      <c r="B805" s="17" t="s">
        <v>1869</v>
      </c>
      <c r="E805" s="17" t="s">
        <v>2369</v>
      </c>
    </row>
  </sheetData>
  <mergeCells count="6">
    <mergeCell ref="B11:F11"/>
    <mergeCell ref="B5:F5"/>
    <mergeCell ref="B6:F6"/>
    <mergeCell ref="B7:F7"/>
    <mergeCell ref="B8:F8"/>
    <mergeCell ref="B9:F9"/>
  </mergeCells>
  <pageMargins left="0" right="0" top="0.5" bottom="0.5" header="0.3" footer="0.3"/>
  <pageSetup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361"/>
  <sheetViews>
    <sheetView zoomScale="115" zoomScaleNormal="115" workbookViewId="0">
      <pane xSplit="1" topLeftCell="C1" activePane="topRight" state="frozen"/>
      <selection activeCell="A2" sqref="A2"/>
      <selection pane="topRight" activeCell="G4" sqref="G4"/>
    </sheetView>
  </sheetViews>
  <sheetFormatPr baseColWidth="10" defaultColWidth="11.42578125" defaultRowHeight="15" x14ac:dyDescent="0.25"/>
  <cols>
    <col min="1" max="1" width="35.140625" style="7" bestFit="1" customWidth="1"/>
    <col min="2" max="2" width="2.7109375" style="1" customWidth="1"/>
    <col min="3" max="3" width="20.7109375" style="3" customWidth="1"/>
    <col min="4" max="4" width="2.85546875" style="1" bestFit="1" customWidth="1"/>
    <col min="5" max="5" width="17.28515625" style="3" customWidth="1"/>
    <col min="6" max="6" width="9.85546875" style="1" customWidth="1"/>
    <col min="7" max="7" width="16.85546875" style="3" bestFit="1" customWidth="1"/>
    <col min="8" max="8" width="16.28515625" style="3" bestFit="1" customWidth="1"/>
    <col min="9" max="9" width="16.42578125" style="3" customWidth="1"/>
    <col min="10" max="10" width="17" style="3" customWidth="1"/>
    <col min="11" max="11" width="16.140625" style="3" customWidth="1"/>
    <col min="12" max="12" width="16.28515625" style="3" bestFit="1" customWidth="1"/>
    <col min="13" max="13" width="16.85546875" style="3" customWidth="1"/>
    <col min="14" max="14" width="17.28515625" style="3" customWidth="1"/>
    <col min="15" max="15" width="16.28515625" style="3" customWidth="1"/>
    <col min="16" max="16" width="16" style="3" customWidth="1"/>
    <col min="17" max="17" width="16.7109375" style="3" customWidth="1"/>
    <col min="18" max="18" width="16.5703125" style="3" customWidth="1"/>
    <col min="19" max="19" width="2.140625" style="50" bestFit="1" customWidth="1"/>
    <col min="20" max="22" width="2.140625" style="51" bestFit="1" customWidth="1"/>
    <col min="23" max="23" width="3.7109375" style="51" bestFit="1" customWidth="1"/>
    <col min="24" max="24" width="11.42578125" style="34"/>
    <col min="25" max="25" width="16.7109375" style="34" bestFit="1" customWidth="1"/>
    <col min="26" max="36" width="11.42578125" style="34"/>
    <col min="37" max="16384" width="11.42578125" style="1"/>
  </cols>
  <sheetData>
    <row r="1" spans="1:36" x14ac:dyDescent="0.25">
      <c r="A1" s="31" t="s">
        <v>7</v>
      </c>
      <c r="B1" s="32"/>
      <c r="C1" s="33"/>
      <c r="D1" s="32"/>
      <c r="E1" s="33"/>
      <c r="F1" s="32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3" spans="1:36" s="6" customFormat="1" x14ac:dyDescent="0.25">
      <c r="A3" s="4" t="s">
        <v>291</v>
      </c>
      <c r="C3" s="5" t="s">
        <v>2428</v>
      </c>
      <c r="E3" s="5" t="s">
        <v>1870</v>
      </c>
      <c r="G3" s="36" t="s">
        <v>1871</v>
      </c>
      <c r="H3" s="36" t="s">
        <v>1872</v>
      </c>
      <c r="I3" s="36" t="s">
        <v>1873</v>
      </c>
      <c r="J3" s="36" t="s">
        <v>1874</v>
      </c>
      <c r="K3" s="36" t="s">
        <v>1875</v>
      </c>
      <c r="L3" s="36" t="s">
        <v>1876</v>
      </c>
      <c r="M3" s="36" t="s">
        <v>1877</v>
      </c>
      <c r="N3" s="36" t="s">
        <v>1878</v>
      </c>
      <c r="O3" s="36" t="s">
        <v>1879</v>
      </c>
      <c r="P3" s="36" t="s">
        <v>1880</v>
      </c>
      <c r="Q3" s="36" t="s">
        <v>1881</v>
      </c>
      <c r="R3" s="36" t="s">
        <v>1882</v>
      </c>
      <c r="S3" s="5"/>
      <c r="T3" s="52"/>
      <c r="U3" s="52"/>
      <c r="V3" s="52"/>
      <c r="W3" s="52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</row>
    <row r="4" spans="1:36" x14ac:dyDescent="0.25">
      <c r="A4" s="7" t="s">
        <v>292</v>
      </c>
      <c r="C4" s="3">
        <f>G4</f>
        <v>124864399.37</v>
      </c>
      <c r="D4" s="8"/>
      <c r="E4" s="3">
        <f>33312532.38+51671711.11</f>
        <v>84984243.489999995</v>
      </c>
      <c r="G4" s="3">
        <f>93312857.22+31551542.15</f>
        <v>124864399.37</v>
      </c>
    </row>
    <row r="5" spans="1:36" ht="30" x14ac:dyDescent="0.25">
      <c r="A5" s="7" t="s">
        <v>1883</v>
      </c>
      <c r="C5" s="3">
        <f t="shared" ref="C5:C7" si="0">G5</f>
        <v>7955921.9900000002</v>
      </c>
      <c r="D5" s="8"/>
      <c r="E5" s="3">
        <v>543128.96</v>
      </c>
      <c r="G5" s="3">
        <v>7955921.9900000002</v>
      </c>
    </row>
    <row r="6" spans="1:36" ht="30" x14ac:dyDescent="0.25">
      <c r="A6" s="7" t="s">
        <v>1884</v>
      </c>
      <c r="C6" s="3">
        <f t="shared" si="0"/>
        <v>1014095.4</v>
      </c>
      <c r="D6" s="8"/>
      <c r="E6" s="3">
        <v>45395.9</v>
      </c>
      <c r="G6" s="3">
        <v>1014095.4</v>
      </c>
    </row>
    <row r="7" spans="1:36" x14ac:dyDescent="0.25">
      <c r="A7" s="7" t="s">
        <v>1885</v>
      </c>
      <c r="C7" s="3">
        <f t="shared" si="0"/>
        <v>0</v>
      </c>
      <c r="D7" s="8"/>
      <c r="E7" s="3">
        <v>0</v>
      </c>
    </row>
    <row r="8" spans="1:36" x14ac:dyDescent="0.25">
      <c r="A8" s="7" t="s">
        <v>1886</v>
      </c>
      <c r="C8" s="3">
        <f>G8</f>
        <v>15000</v>
      </c>
      <c r="D8" s="8"/>
      <c r="E8" s="3">
        <v>15000</v>
      </c>
      <c r="G8" s="3">
        <v>15000</v>
      </c>
      <c r="S8" s="50" t="s">
        <v>7</v>
      </c>
    </row>
    <row r="9" spans="1:36" ht="15.75" thickBot="1" x14ac:dyDescent="0.3">
      <c r="A9" s="2" t="s">
        <v>297</v>
      </c>
      <c r="B9" s="6"/>
      <c r="C9" s="9">
        <f>SUM(C4:C8)</f>
        <v>133849416.76000001</v>
      </c>
      <c r="D9" s="10"/>
      <c r="E9" s="9">
        <f>SUM(E4:E8)</f>
        <v>85587768.349999994</v>
      </c>
      <c r="G9" s="9">
        <f>SUM(G4:G8)</f>
        <v>133849416.76000001</v>
      </c>
      <c r="H9" s="9">
        <f t="shared" ref="H9:R9" si="1">SUM(H4:H8)</f>
        <v>0</v>
      </c>
      <c r="I9" s="9">
        <f t="shared" si="1"/>
        <v>0</v>
      </c>
      <c r="J9" s="9">
        <f t="shared" si="1"/>
        <v>0</v>
      </c>
      <c r="K9" s="9">
        <f t="shared" si="1"/>
        <v>0</v>
      </c>
      <c r="L9" s="9">
        <f t="shared" si="1"/>
        <v>0</v>
      </c>
      <c r="M9" s="9">
        <f t="shared" si="1"/>
        <v>0</v>
      </c>
      <c r="N9" s="9">
        <f t="shared" si="1"/>
        <v>0</v>
      </c>
      <c r="O9" s="9">
        <f t="shared" si="1"/>
        <v>0</v>
      </c>
      <c r="P9" s="9">
        <f t="shared" si="1"/>
        <v>0</v>
      </c>
      <c r="Q9" s="9">
        <f t="shared" si="1"/>
        <v>0</v>
      </c>
      <c r="R9" s="9">
        <f t="shared" si="1"/>
        <v>0</v>
      </c>
    </row>
    <row r="10" spans="1:36" ht="15.75" hidden="1" thickTop="1" x14ac:dyDescent="0.25">
      <c r="C10" s="3">
        <f>+C9-E9</f>
        <v>48261648.410000011</v>
      </c>
    </row>
    <row r="11" spans="1:36" ht="15.75" hidden="1" thickTop="1" x14ac:dyDescent="0.25">
      <c r="C11" s="53">
        <f>+C10/E9</f>
        <v>0.56388487911777663</v>
      </c>
    </row>
    <row r="12" spans="1:36" ht="15.75" hidden="1" thickTop="1" x14ac:dyDescent="0.25"/>
    <row r="13" spans="1:36" ht="15.75" thickTop="1" x14ac:dyDescent="0.25">
      <c r="A13" s="31" t="s">
        <v>1887</v>
      </c>
      <c r="B13" s="32"/>
      <c r="C13" s="33"/>
      <c r="D13" s="32"/>
      <c r="E13" s="33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36" x14ac:dyDescent="0.25">
      <c r="C14" s="3">
        <v>0</v>
      </c>
    </row>
    <row r="15" spans="1:36" x14ac:dyDescent="0.25">
      <c r="A15" s="4" t="s">
        <v>291</v>
      </c>
      <c r="C15" s="5" t="s">
        <v>2428</v>
      </c>
      <c r="D15" s="6"/>
      <c r="E15" s="216" t="s">
        <v>1870</v>
      </c>
      <c r="G15" s="36" t="s">
        <v>1871</v>
      </c>
      <c r="H15" s="36" t="s">
        <v>1872</v>
      </c>
      <c r="I15" s="36" t="s">
        <v>1873</v>
      </c>
      <c r="J15" s="36" t="s">
        <v>1874</v>
      </c>
      <c r="K15" s="36" t="s">
        <v>1875</v>
      </c>
      <c r="L15" s="36" t="s">
        <v>1876</v>
      </c>
      <c r="M15" s="36" t="s">
        <v>1877</v>
      </c>
      <c r="N15" s="36" t="s">
        <v>1878</v>
      </c>
      <c r="O15" s="36" t="s">
        <v>1879</v>
      </c>
      <c r="P15" s="36" t="s">
        <v>1880</v>
      </c>
      <c r="Q15" s="36" t="s">
        <v>1881</v>
      </c>
      <c r="R15" s="36" t="s">
        <v>1882</v>
      </c>
    </row>
    <row r="16" spans="1:36" x14ac:dyDescent="0.25">
      <c r="A16" s="7" t="s">
        <v>1888</v>
      </c>
      <c r="C16" s="3">
        <f t="shared" ref="C16" si="2">+C49</f>
        <v>162815430.26000002</v>
      </c>
      <c r="D16" s="3"/>
      <c r="E16" s="3">
        <v>188827935.69</v>
      </c>
      <c r="G16" s="3">
        <f>G49</f>
        <v>162815430.26000002</v>
      </c>
      <c r="H16" s="3">
        <f t="shared" ref="H16:L16" si="3">+H49</f>
        <v>0</v>
      </c>
      <c r="I16" s="3">
        <f t="shared" si="3"/>
        <v>0</v>
      </c>
      <c r="J16" s="3">
        <f t="shared" si="3"/>
        <v>0</v>
      </c>
      <c r="K16" s="3">
        <f t="shared" si="3"/>
        <v>0</v>
      </c>
      <c r="L16" s="3">
        <f t="shared" si="3"/>
        <v>0</v>
      </c>
      <c r="M16" s="3">
        <f t="shared" ref="M16:N16" si="4">+M49</f>
        <v>0</v>
      </c>
      <c r="N16" s="3">
        <f t="shared" si="4"/>
        <v>0</v>
      </c>
      <c r="O16" s="3">
        <f t="shared" ref="O16:P16" si="5">+O49</f>
        <v>0</v>
      </c>
      <c r="P16" s="3">
        <f t="shared" si="5"/>
        <v>0</v>
      </c>
      <c r="Q16" s="3">
        <f t="shared" ref="Q16:R16" si="6">+Q49</f>
        <v>0</v>
      </c>
      <c r="R16" s="3">
        <f t="shared" si="6"/>
        <v>0</v>
      </c>
    </row>
    <row r="17" spans="1:36" x14ac:dyDescent="0.25">
      <c r="A17" s="7" t="s">
        <v>300</v>
      </c>
      <c r="C17" s="3">
        <f>+C66-C61-C62</f>
        <v>675366.02000000025</v>
      </c>
      <c r="D17" s="3"/>
      <c r="E17" s="3">
        <v>1462204.29</v>
      </c>
      <c r="G17" s="3">
        <f>G66-G61-G62</f>
        <v>675366.02000000025</v>
      </c>
      <c r="H17" s="3">
        <f>H66-H61-H62</f>
        <v>0</v>
      </c>
      <c r="I17" s="3">
        <f>+I66-I61-I62</f>
        <v>0</v>
      </c>
      <c r="J17" s="3">
        <f>+J66-J61-J62</f>
        <v>0</v>
      </c>
      <c r="K17" s="3">
        <f>+K66-K61-K62</f>
        <v>0</v>
      </c>
      <c r="L17" s="3">
        <f>+L66-L61-L62</f>
        <v>0</v>
      </c>
      <c r="M17" s="3">
        <f>M66-M61-M62</f>
        <v>0</v>
      </c>
      <c r="N17" s="3">
        <f>+N66-N61-N62</f>
        <v>0</v>
      </c>
      <c r="O17" s="3">
        <f>O66-O61-O62</f>
        <v>0</v>
      </c>
      <c r="P17" s="3">
        <f>+P66-P61-P62</f>
        <v>0</v>
      </c>
      <c r="Q17" s="3">
        <f>+Q66-Q61-Q62</f>
        <v>0</v>
      </c>
      <c r="R17" s="3">
        <f>+R66-R61-R62</f>
        <v>0</v>
      </c>
    </row>
    <row r="18" spans="1:36" x14ac:dyDescent="0.25">
      <c r="A18" s="7" t="s">
        <v>1889</v>
      </c>
      <c r="C18" s="8">
        <f>C61+C62</f>
        <v>9208708.7000000011</v>
      </c>
      <c r="D18" s="8"/>
      <c r="E18" s="3">
        <v>3039252.69</v>
      </c>
      <c r="G18" s="8">
        <f>G61+G62</f>
        <v>9208708.7000000011</v>
      </c>
      <c r="H18" s="8">
        <f>H61+H62</f>
        <v>0</v>
      </c>
      <c r="I18" s="8">
        <f t="shared" ref="I18:N18" si="7">I61+I62</f>
        <v>0</v>
      </c>
      <c r="J18" s="8">
        <f t="shared" si="7"/>
        <v>0</v>
      </c>
      <c r="K18" s="8">
        <f t="shared" si="7"/>
        <v>0</v>
      </c>
      <c r="L18" s="8">
        <f t="shared" si="7"/>
        <v>0</v>
      </c>
      <c r="M18" s="8">
        <f t="shared" si="7"/>
        <v>0</v>
      </c>
      <c r="N18" s="8">
        <f t="shared" si="7"/>
        <v>0</v>
      </c>
      <c r="O18" s="8">
        <f>O61+O62</f>
        <v>0</v>
      </c>
      <c r="P18" s="8">
        <f>P61+P62</f>
        <v>0</v>
      </c>
      <c r="Q18" s="8">
        <f>Q61+Q62</f>
        <v>0</v>
      </c>
      <c r="R18" s="8">
        <f>R61+R62</f>
        <v>0</v>
      </c>
    </row>
    <row r="19" spans="1:36" s="6" customFormat="1" ht="15.75" thickBot="1" x14ac:dyDescent="0.3">
      <c r="A19" s="2" t="s">
        <v>297</v>
      </c>
      <c r="C19" s="9">
        <f>SUM(C16:C18)</f>
        <v>172699504.98000002</v>
      </c>
      <c r="E19" s="9">
        <f>SUM(E16:E18)</f>
        <v>193329392.66999999</v>
      </c>
      <c r="G19" s="9">
        <f>SUM(G16:G18)</f>
        <v>172699504.98000002</v>
      </c>
      <c r="H19" s="9">
        <f t="shared" ref="H19:R19" si="8">SUM(H16:H18)</f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  <c r="O19" s="9">
        <f t="shared" si="8"/>
        <v>0</v>
      </c>
      <c r="P19" s="9">
        <f t="shared" si="8"/>
        <v>0</v>
      </c>
      <c r="Q19" s="9">
        <f t="shared" si="8"/>
        <v>0</v>
      </c>
      <c r="R19" s="9">
        <f t="shared" si="8"/>
        <v>0</v>
      </c>
      <c r="S19" s="5"/>
      <c r="T19" s="52"/>
      <c r="U19" s="52"/>
      <c r="V19" s="52"/>
      <c r="W19" s="52"/>
      <c r="X19" s="35"/>
      <c r="Y19" s="36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ht="15.75" hidden="1" thickTop="1" x14ac:dyDescent="0.25">
      <c r="C20" s="3">
        <f>+C19-E19</f>
        <v>-20629887.689999968</v>
      </c>
      <c r="N20" s="3">
        <f>213072143.68-N19</f>
        <v>213072143.68000001</v>
      </c>
    </row>
    <row r="21" spans="1:36" ht="15.75" hidden="1" thickTop="1" x14ac:dyDescent="0.25">
      <c r="C21" s="53">
        <f>+C20/E19</f>
        <v>-0.10670849064949876</v>
      </c>
    </row>
    <row r="22" spans="1:36" ht="15.75" hidden="1" thickTop="1" x14ac:dyDescent="0.25"/>
    <row r="23" spans="1:36" ht="15.75" thickTop="1" x14ac:dyDescent="0.25">
      <c r="A23" s="31" t="s">
        <v>1890</v>
      </c>
      <c r="B23" s="32"/>
      <c r="C23" s="33"/>
      <c r="D23" s="32"/>
      <c r="E23" s="33"/>
      <c r="F23" s="32"/>
      <c r="G23" s="33" t="s">
        <v>1891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Y23" s="166"/>
    </row>
    <row r="24" spans="1:36" x14ac:dyDescent="0.25">
      <c r="A24" s="2"/>
    </row>
    <row r="25" spans="1:36" x14ac:dyDescent="0.25">
      <c r="A25" s="4" t="s">
        <v>291</v>
      </c>
      <c r="C25" s="5" t="s">
        <v>2428</v>
      </c>
      <c r="D25" s="6"/>
      <c r="E25" s="5" t="s">
        <v>1870</v>
      </c>
      <c r="G25" s="36" t="s">
        <v>1871</v>
      </c>
      <c r="H25" s="36" t="s">
        <v>1872</v>
      </c>
      <c r="I25" s="36" t="s">
        <v>1873</v>
      </c>
      <c r="J25" s="36" t="s">
        <v>1874</v>
      </c>
      <c r="K25" s="36" t="s">
        <v>1875</v>
      </c>
      <c r="L25" s="36" t="s">
        <v>1876</v>
      </c>
      <c r="M25" s="36" t="s">
        <v>1877</v>
      </c>
      <c r="N25" s="36" t="s">
        <v>1878</v>
      </c>
      <c r="O25" s="36" t="s">
        <v>1879</v>
      </c>
      <c r="P25" s="36" t="s">
        <v>1880</v>
      </c>
      <c r="Q25" s="36" t="s">
        <v>1881</v>
      </c>
      <c r="R25" s="36" t="s">
        <v>1882</v>
      </c>
    </row>
    <row r="26" spans="1:36" x14ac:dyDescent="0.25">
      <c r="A26" s="7" t="s">
        <v>305</v>
      </c>
      <c r="B26" s="7"/>
      <c r="C26" s="11">
        <f>G26</f>
        <v>67274064.129999995</v>
      </c>
      <c r="D26" s="7"/>
      <c r="E26" s="3">
        <v>103896364.25</v>
      </c>
      <c r="G26" s="3">
        <f>50216450.15+12802739.87+4254874.11</f>
        <v>67274064.129999995</v>
      </c>
    </row>
    <row r="27" spans="1:36" x14ac:dyDescent="0.25">
      <c r="A27" s="7" t="s">
        <v>306</v>
      </c>
      <c r="B27" s="7"/>
      <c r="C27" s="11">
        <f t="shared" ref="C27:C48" si="9">G27</f>
        <v>42916342.789999999</v>
      </c>
      <c r="D27" s="7"/>
      <c r="E27" s="3">
        <v>35529879.649999999</v>
      </c>
      <c r="G27" s="3">
        <v>42916342.789999999</v>
      </c>
    </row>
    <row r="28" spans="1:36" x14ac:dyDescent="0.25">
      <c r="A28" s="7" t="s">
        <v>307</v>
      </c>
      <c r="B28" s="7"/>
      <c r="C28" s="11">
        <f t="shared" si="9"/>
        <v>0</v>
      </c>
      <c r="D28" s="7"/>
      <c r="E28" s="3">
        <v>0</v>
      </c>
      <c r="G28" s="3">
        <v>0</v>
      </c>
    </row>
    <row r="29" spans="1:36" x14ac:dyDescent="0.25">
      <c r="A29" s="7" t="s">
        <v>308</v>
      </c>
      <c r="B29" s="7"/>
      <c r="C29" s="11">
        <f t="shared" si="9"/>
        <v>20777647.949999999</v>
      </c>
      <c r="D29" s="7"/>
      <c r="E29" s="3">
        <v>13706003.52</v>
      </c>
      <c r="G29" s="3">
        <v>20777647.949999999</v>
      </c>
    </row>
    <row r="30" spans="1:36" x14ac:dyDescent="0.25">
      <c r="A30" s="7" t="s">
        <v>309</v>
      </c>
      <c r="B30" s="7"/>
      <c r="C30" s="11">
        <f t="shared" si="9"/>
        <v>6861120.2000000002</v>
      </c>
      <c r="D30" s="7"/>
      <c r="E30" s="3">
        <v>10027246.800000001</v>
      </c>
      <c r="G30" s="3">
        <v>6861120.2000000002</v>
      </c>
    </row>
    <row r="31" spans="1:36" x14ac:dyDescent="0.25">
      <c r="A31" s="7" t="s">
        <v>310</v>
      </c>
      <c r="B31" s="7"/>
      <c r="C31" s="11">
        <f t="shared" si="9"/>
        <v>8373471.7199999997</v>
      </c>
      <c r="D31" s="7"/>
      <c r="E31" s="3">
        <v>5856787.9400000004</v>
      </c>
      <c r="G31" s="3">
        <v>8373471.7199999997</v>
      </c>
    </row>
    <row r="32" spans="1:36" x14ac:dyDescent="0.25">
      <c r="A32" s="7" t="s">
        <v>311</v>
      </c>
      <c r="B32" s="7"/>
      <c r="C32" s="11">
        <f t="shared" si="9"/>
        <v>11031404.220000001</v>
      </c>
      <c r="D32" s="7"/>
      <c r="E32" s="3">
        <v>11958749.93</v>
      </c>
      <c r="G32" s="3">
        <v>11031404.220000001</v>
      </c>
    </row>
    <row r="33" spans="1:7" x14ac:dyDescent="0.25">
      <c r="A33" s="7" t="s">
        <v>312</v>
      </c>
      <c r="B33" s="7"/>
      <c r="C33" s="11">
        <f t="shared" si="9"/>
        <v>309383.53999999998</v>
      </c>
      <c r="D33" s="7"/>
      <c r="E33" s="3">
        <v>217651.07</v>
      </c>
      <c r="G33" s="3">
        <v>309383.53999999998</v>
      </c>
    </row>
    <row r="34" spans="1:7" x14ac:dyDescent="0.25">
      <c r="A34" s="7" t="s">
        <v>313</v>
      </c>
      <c r="B34" s="7"/>
      <c r="C34" s="11">
        <f t="shared" si="9"/>
        <v>636169.65</v>
      </c>
      <c r="D34" s="7"/>
      <c r="E34" s="3">
        <v>987856.91</v>
      </c>
      <c r="G34" s="3">
        <v>636169.65</v>
      </c>
    </row>
    <row r="35" spans="1:7" x14ac:dyDescent="0.25">
      <c r="A35" s="7" t="s">
        <v>314</v>
      </c>
      <c r="B35" s="7"/>
      <c r="C35" s="11">
        <f t="shared" si="9"/>
        <v>321821.21000000002</v>
      </c>
      <c r="D35" s="7"/>
      <c r="E35" s="3">
        <v>334270.28000000003</v>
      </c>
      <c r="G35" s="3">
        <v>321821.21000000002</v>
      </c>
    </row>
    <row r="36" spans="1:7" x14ac:dyDescent="0.25">
      <c r="A36" s="7" t="s">
        <v>315</v>
      </c>
      <c r="B36" s="7"/>
      <c r="C36" s="11">
        <f t="shared" si="9"/>
        <v>0</v>
      </c>
      <c r="D36" s="7"/>
      <c r="E36" s="3">
        <v>0</v>
      </c>
      <c r="G36" s="3">
        <v>0</v>
      </c>
    </row>
    <row r="37" spans="1:7" x14ac:dyDescent="0.25">
      <c r="A37" s="7" t="s">
        <v>316</v>
      </c>
      <c r="C37" s="11">
        <f t="shared" si="9"/>
        <v>2087210.93</v>
      </c>
      <c r="E37" s="3">
        <v>603860.62</v>
      </c>
      <c r="G37" s="3">
        <v>2087210.93</v>
      </c>
    </row>
    <row r="38" spans="1:7" x14ac:dyDescent="0.25">
      <c r="A38" s="7" t="s">
        <v>317</v>
      </c>
      <c r="B38" s="7"/>
      <c r="C38" s="11">
        <f t="shared" si="9"/>
        <v>1000</v>
      </c>
      <c r="D38" s="7"/>
      <c r="E38" s="3">
        <v>569519.16</v>
      </c>
      <c r="G38" s="3">
        <v>1000</v>
      </c>
    </row>
    <row r="39" spans="1:7" x14ac:dyDescent="0.25">
      <c r="A39" s="7" t="s">
        <v>318</v>
      </c>
      <c r="C39" s="11">
        <f t="shared" si="9"/>
        <v>39615.769999999997</v>
      </c>
      <c r="E39" s="3">
        <v>438507.47</v>
      </c>
      <c r="G39" s="3">
        <v>39615.769999999997</v>
      </c>
    </row>
    <row r="40" spans="1:7" x14ac:dyDescent="0.25">
      <c r="A40" s="7" t="s">
        <v>319</v>
      </c>
      <c r="C40" s="11">
        <f t="shared" si="9"/>
        <v>35286.42</v>
      </c>
      <c r="E40" s="3">
        <v>554193.06999999995</v>
      </c>
      <c r="G40" s="3">
        <v>35286.42</v>
      </c>
    </row>
    <row r="41" spans="1:7" x14ac:dyDescent="0.25">
      <c r="A41" s="7" t="s">
        <v>320</v>
      </c>
      <c r="B41" s="7"/>
      <c r="C41" s="11">
        <f t="shared" si="9"/>
        <v>201285.99</v>
      </c>
      <c r="D41" s="7"/>
      <c r="E41" s="3">
        <v>862652.92</v>
      </c>
      <c r="G41" s="3">
        <v>201285.99</v>
      </c>
    </row>
    <row r="42" spans="1:7" x14ac:dyDescent="0.25">
      <c r="A42" s="7" t="s">
        <v>321</v>
      </c>
      <c r="B42" s="7"/>
      <c r="C42" s="11">
        <f t="shared" si="9"/>
        <v>1000</v>
      </c>
      <c r="D42" s="7"/>
      <c r="E42" s="3">
        <v>193595.25</v>
      </c>
      <c r="G42" s="3">
        <v>1000</v>
      </c>
    </row>
    <row r="43" spans="1:7" x14ac:dyDescent="0.25">
      <c r="A43" s="7" t="s">
        <v>322</v>
      </c>
      <c r="B43" s="7"/>
      <c r="C43" s="11">
        <f t="shared" si="9"/>
        <v>643453.48</v>
      </c>
      <c r="D43" s="7"/>
      <c r="E43" s="3">
        <v>717629.93</v>
      </c>
      <c r="G43" s="3">
        <v>643453.48</v>
      </c>
    </row>
    <row r="44" spans="1:7" x14ac:dyDescent="0.25">
      <c r="A44" s="7" t="s">
        <v>323</v>
      </c>
      <c r="B44" s="7"/>
      <c r="C44" s="11">
        <f t="shared" si="9"/>
        <v>253178.31</v>
      </c>
      <c r="D44" s="7"/>
      <c r="E44" s="3">
        <v>731373.28</v>
      </c>
      <c r="G44" s="3">
        <v>253178.31</v>
      </c>
    </row>
    <row r="45" spans="1:7" x14ac:dyDescent="0.25">
      <c r="A45" s="7" t="s">
        <v>324</v>
      </c>
      <c r="B45" s="7"/>
      <c r="C45" s="11">
        <f t="shared" si="9"/>
        <v>0</v>
      </c>
      <c r="D45" s="7"/>
      <c r="E45" s="3">
        <v>0</v>
      </c>
      <c r="G45" s="3">
        <v>0</v>
      </c>
    </row>
    <row r="46" spans="1:7" x14ac:dyDescent="0.25">
      <c r="A46" s="7" t="s">
        <v>325</v>
      </c>
      <c r="B46" s="7"/>
      <c r="C46" s="11">
        <f t="shared" si="9"/>
        <v>598571.82999999996</v>
      </c>
      <c r="D46" s="7"/>
      <c r="E46" s="3">
        <v>1579706.65</v>
      </c>
      <c r="G46" s="3">
        <v>598571.82999999996</v>
      </c>
    </row>
    <row r="47" spans="1:7" x14ac:dyDescent="0.25">
      <c r="A47" s="7" t="s">
        <v>326</v>
      </c>
      <c r="B47" s="7"/>
      <c r="C47" s="11">
        <f t="shared" si="9"/>
        <v>191288.21</v>
      </c>
      <c r="D47" s="7"/>
      <c r="E47" s="3">
        <v>60686.99</v>
      </c>
      <c r="G47" s="3">
        <v>191288.21</v>
      </c>
    </row>
    <row r="48" spans="1:7" x14ac:dyDescent="0.25">
      <c r="A48" s="7" t="s">
        <v>1892</v>
      </c>
      <c r="B48" s="7"/>
      <c r="C48" s="11">
        <f t="shared" si="9"/>
        <v>262113.91</v>
      </c>
      <c r="D48" s="7"/>
      <c r="E48" s="3">
        <v>1400</v>
      </c>
      <c r="G48" s="3">
        <v>262113.91</v>
      </c>
    </row>
    <row r="49" spans="1:25" ht="15.75" thickBot="1" x14ac:dyDescent="0.3">
      <c r="A49" s="2" t="s">
        <v>328</v>
      </c>
      <c r="B49" s="6"/>
      <c r="C49" s="9">
        <f>SUM(C26:C48)</f>
        <v>162815430.26000002</v>
      </c>
      <c r="D49" s="6"/>
      <c r="E49" s="9">
        <f>SUM(E26:E48)</f>
        <v>188827935.69000003</v>
      </c>
      <c r="G49" s="9">
        <f>SUM(G26:G48)</f>
        <v>162815430.26000002</v>
      </c>
      <c r="H49" s="9">
        <f t="shared" ref="H49:R49" si="10">SUM(H26:H48)</f>
        <v>0</v>
      </c>
      <c r="I49" s="9">
        <f t="shared" si="10"/>
        <v>0</v>
      </c>
      <c r="J49" s="9">
        <f t="shared" si="10"/>
        <v>0</v>
      </c>
      <c r="K49" s="9">
        <f t="shared" si="10"/>
        <v>0</v>
      </c>
      <c r="L49" s="9">
        <f t="shared" si="10"/>
        <v>0</v>
      </c>
      <c r="M49" s="9">
        <f t="shared" si="10"/>
        <v>0</v>
      </c>
      <c r="N49" s="9">
        <f t="shared" si="10"/>
        <v>0</v>
      </c>
      <c r="O49" s="9">
        <f t="shared" si="10"/>
        <v>0</v>
      </c>
      <c r="P49" s="9">
        <f t="shared" si="10"/>
        <v>0</v>
      </c>
      <c r="Q49" s="9">
        <f t="shared" si="10"/>
        <v>0</v>
      </c>
      <c r="R49" s="9">
        <f t="shared" si="10"/>
        <v>0</v>
      </c>
    </row>
    <row r="50" spans="1:25" ht="15.75" hidden="1" thickTop="1" x14ac:dyDescent="0.25">
      <c r="C50" s="3">
        <f>+C49-E49</f>
        <v>-26012505.430000007</v>
      </c>
    </row>
    <row r="51" spans="1:25" ht="15.75" hidden="1" thickTop="1" x14ac:dyDescent="0.25">
      <c r="C51" s="53">
        <f>+C50/E49</f>
        <v>-0.13775771754823871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51"/>
    </row>
    <row r="52" spans="1:25" ht="15.75" thickTop="1" x14ac:dyDescent="0.25">
      <c r="A52" s="31" t="s">
        <v>1893</v>
      </c>
      <c r="B52" s="32"/>
      <c r="C52" s="33"/>
      <c r="D52" s="32"/>
      <c r="E52" s="33"/>
      <c r="F52" s="32"/>
      <c r="G52" s="33"/>
      <c r="H52" s="33"/>
      <c r="I52" s="33"/>
      <c r="J52" s="33" t="s">
        <v>7</v>
      </c>
      <c r="K52" s="33"/>
      <c r="L52" s="33"/>
      <c r="M52" s="33"/>
      <c r="N52" s="33"/>
      <c r="O52" s="33"/>
      <c r="P52" s="33" t="s">
        <v>7</v>
      </c>
      <c r="Q52" s="33" t="s">
        <v>7</v>
      </c>
      <c r="R52" s="33"/>
    </row>
    <row r="53" spans="1:25" x14ac:dyDescent="0.25">
      <c r="A53" s="2"/>
      <c r="P53" s="3" t="s">
        <v>7</v>
      </c>
      <c r="Q53" s="3" t="s">
        <v>7</v>
      </c>
    </row>
    <row r="54" spans="1:25" x14ac:dyDescent="0.25">
      <c r="A54" s="4" t="s">
        <v>291</v>
      </c>
      <c r="C54" s="5" t="s">
        <v>2428</v>
      </c>
      <c r="D54" s="6"/>
      <c r="E54" s="5" t="s">
        <v>1870</v>
      </c>
      <c r="G54" s="36" t="s">
        <v>1871</v>
      </c>
      <c r="H54" s="36" t="s">
        <v>1872</v>
      </c>
      <c r="I54" s="36" t="s">
        <v>1873</v>
      </c>
      <c r="J54" s="36" t="s">
        <v>1874</v>
      </c>
      <c r="K54" s="36" t="s">
        <v>1875</v>
      </c>
      <c r="L54" s="36" t="s">
        <v>1876</v>
      </c>
      <c r="M54" s="36" t="s">
        <v>1877</v>
      </c>
      <c r="N54" s="36" t="s">
        <v>1878</v>
      </c>
      <c r="O54" s="36" t="s">
        <v>1879</v>
      </c>
      <c r="P54" s="36" t="s">
        <v>1880</v>
      </c>
      <c r="Q54" s="36" t="s">
        <v>1881</v>
      </c>
      <c r="R54" s="36" t="s">
        <v>1882</v>
      </c>
    </row>
    <row r="55" spans="1:25" x14ac:dyDescent="0.25">
      <c r="A55" s="7" t="s">
        <v>1894</v>
      </c>
      <c r="C55" s="142">
        <f>G55</f>
        <v>0</v>
      </c>
      <c r="E55" s="3">
        <v>0</v>
      </c>
      <c r="S55" s="3">
        <v>0</v>
      </c>
    </row>
    <row r="56" spans="1:25" x14ac:dyDescent="0.25">
      <c r="A56" s="7" t="s">
        <v>331</v>
      </c>
      <c r="B56" s="7"/>
      <c r="C56" s="142">
        <f t="shared" ref="C56:C65" si="11">G56</f>
        <v>457266.02</v>
      </c>
      <c r="D56" s="7"/>
      <c r="E56" s="3">
        <v>518769.57</v>
      </c>
      <c r="G56" s="3">
        <v>457266.02</v>
      </c>
      <c r="S56" s="3">
        <v>0</v>
      </c>
    </row>
    <row r="57" spans="1:25" x14ac:dyDescent="0.25">
      <c r="A57" s="7" t="s">
        <v>332</v>
      </c>
      <c r="B57" s="7"/>
      <c r="C57" s="142">
        <f t="shared" si="11"/>
        <v>0</v>
      </c>
      <c r="D57" s="7"/>
      <c r="E57" s="3">
        <v>0</v>
      </c>
      <c r="S57" s="3">
        <v>0</v>
      </c>
    </row>
    <row r="58" spans="1:25" x14ac:dyDescent="0.25">
      <c r="A58" s="7" t="s">
        <v>333</v>
      </c>
      <c r="B58" s="7"/>
      <c r="C58" s="142">
        <f t="shared" si="11"/>
        <v>0</v>
      </c>
      <c r="D58" s="7"/>
      <c r="E58" s="3">
        <v>0</v>
      </c>
      <c r="S58" s="3">
        <v>0</v>
      </c>
      <c r="Y58" s="3"/>
    </row>
    <row r="59" spans="1:25" x14ac:dyDescent="0.25">
      <c r="A59" s="7" t="s">
        <v>334</v>
      </c>
      <c r="B59" s="7"/>
      <c r="C59" s="142">
        <f t="shared" si="11"/>
        <v>0</v>
      </c>
      <c r="D59" s="7"/>
      <c r="E59" s="3">
        <v>0</v>
      </c>
      <c r="S59" s="3">
        <v>0</v>
      </c>
      <c r="Y59" s="3"/>
    </row>
    <row r="60" spans="1:25" x14ac:dyDescent="0.25">
      <c r="A60" s="7" t="s">
        <v>335</v>
      </c>
      <c r="B60" s="7"/>
      <c r="C60" s="142">
        <f t="shared" si="11"/>
        <v>0</v>
      </c>
      <c r="D60" s="7"/>
      <c r="E60" s="3">
        <v>0</v>
      </c>
      <c r="S60" s="3">
        <v>0</v>
      </c>
      <c r="Y60" s="3"/>
    </row>
    <row r="61" spans="1:25" x14ac:dyDescent="0.25">
      <c r="A61" s="7" t="s">
        <v>342</v>
      </c>
      <c r="B61" s="7"/>
      <c r="C61" s="142">
        <f t="shared" si="11"/>
        <v>7931552.6500000004</v>
      </c>
      <c r="D61" s="7"/>
      <c r="E61" s="3">
        <v>1539015.54</v>
      </c>
      <c r="G61" s="3">
        <v>7931552.6500000004</v>
      </c>
      <c r="S61" s="3">
        <v>0</v>
      </c>
      <c r="Y61" s="3"/>
    </row>
    <row r="62" spans="1:25" x14ac:dyDescent="0.25">
      <c r="A62" s="7" t="s">
        <v>343</v>
      </c>
      <c r="B62" s="7"/>
      <c r="C62" s="142">
        <f t="shared" si="11"/>
        <v>1277156.05</v>
      </c>
      <c r="D62" s="7"/>
      <c r="E62" s="3">
        <v>1500237.15</v>
      </c>
      <c r="G62" s="3">
        <v>1277156.05</v>
      </c>
      <c r="S62" s="3">
        <v>0</v>
      </c>
      <c r="Y62" s="3"/>
    </row>
    <row r="63" spans="1:25" x14ac:dyDescent="0.25">
      <c r="A63" s="7" t="s">
        <v>336</v>
      </c>
      <c r="B63" s="7"/>
      <c r="C63" s="142">
        <f t="shared" si="11"/>
        <v>218100</v>
      </c>
      <c r="D63" s="7"/>
      <c r="E63" s="3">
        <v>918434.72</v>
      </c>
      <c r="G63" s="3">
        <v>218100</v>
      </c>
      <c r="S63" s="3">
        <v>0</v>
      </c>
      <c r="Y63" s="3"/>
    </row>
    <row r="64" spans="1:25" x14ac:dyDescent="0.25">
      <c r="A64" s="7" t="s">
        <v>337</v>
      </c>
      <c r="B64" s="7"/>
      <c r="C64" s="142">
        <f t="shared" si="11"/>
        <v>0</v>
      </c>
      <c r="D64" s="7"/>
      <c r="E64" s="3">
        <v>0</v>
      </c>
      <c r="S64" s="3">
        <v>0</v>
      </c>
      <c r="Y64" s="3"/>
    </row>
    <row r="65" spans="1:25" x14ac:dyDescent="0.25">
      <c r="A65" s="7" t="s">
        <v>338</v>
      </c>
      <c r="B65" s="7"/>
      <c r="C65" s="142">
        <f t="shared" si="11"/>
        <v>0</v>
      </c>
      <c r="D65" s="7"/>
      <c r="E65" s="3">
        <v>25000</v>
      </c>
      <c r="S65" s="3">
        <v>0</v>
      </c>
      <c r="Y65" s="3"/>
    </row>
    <row r="66" spans="1:25" ht="30.75" thickBot="1" x14ac:dyDescent="0.3">
      <c r="A66" s="2" t="s">
        <v>339</v>
      </c>
      <c r="B66" s="6"/>
      <c r="C66" s="9">
        <f>SUM(C55:C65)</f>
        <v>9884074.7200000007</v>
      </c>
      <c r="D66" s="6"/>
      <c r="E66" s="9">
        <f>SUM(E55:E65)</f>
        <v>4501456.9799999995</v>
      </c>
      <c r="G66" s="9">
        <f>SUM(G55:G65)</f>
        <v>9884074.7200000007</v>
      </c>
      <c r="H66" s="9">
        <f t="shared" ref="H66:R66" si="12">SUM(H55:H65)</f>
        <v>0</v>
      </c>
      <c r="I66" s="9">
        <f t="shared" si="12"/>
        <v>0</v>
      </c>
      <c r="J66" s="9">
        <f t="shared" si="12"/>
        <v>0</v>
      </c>
      <c r="K66" s="9">
        <f t="shared" si="12"/>
        <v>0</v>
      </c>
      <c r="L66" s="9">
        <f t="shared" si="12"/>
        <v>0</v>
      </c>
      <c r="M66" s="9">
        <f t="shared" si="12"/>
        <v>0</v>
      </c>
      <c r="N66" s="9">
        <f t="shared" si="12"/>
        <v>0</v>
      </c>
      <c r="O66" s="9">
        <f t="shared" si="12"/>
        <v>0</v>
      </c>
      <c r="P66" s="9">
        <f t="shared" si="12"/>
        <v>0</v>
      </c>
      <c r="Q66" s="9">
        <f t="shared" si="12"/>
        <v>0</v>
      </c>
      <c r="R66" s="9">
        <f t="shared" si="12"/>
        <v>0</v>
      </c>
      <c r="Y66" s="3"/>
    </row>
    <row r="67" spans="1:25" ht="23.25" customHeight="1" thickTop="1" x14ac:dyDescent="0.25">
      <c r="H67" s="3" t="s">
        <v>57</v>
      </c>
      <c r="Y67" s="3">
        <f>R49+R66</f>
        <v>0</v>
      </c>
    </row>
    <row r="68" spans="1:25" ht="19.5" customHeight="1" x14ac:dyDescent="0.25">
      <c r="C68" s="53"/>
      <c r="G68" s="3" t="s">
        <v>7</v>
      </c>
      <c r="H68" s="3" t="s">
        <v>7</v>
      </c>
      <c r="M68" s="3">
        <f>M66-M61-M62</f>
        <v>0</v>
      </c>
      <c r="N68" s="3" t="s">
        <v>7</v>
      </c>
      <c r="O68" s="3" t="s">
        <v>7</v>
      </c>
      <c r="Y68" s="3"/>
    </row>
    <row r="69" spans="1:25" x14ac:dyDescent="0.25">
      <c r="A69" s="31" t="s">
        <v>1895</v>
      </c>
      <c r="B69" s="32"/>
      <c r="C69" s="33"/>
      <c r="D69" s="32"/>
      <c r="E69" s="33"/>
      <c r="F69" s="32"/>
      <c r="G69" s="33"/>
      <c r="H69" s="33"/>
      <c r="I69" s="33"/>
      <c r="J69" s="33"/>
      <c r="K69" s="33"/>
      <c r="L69" s="33"/>
      <c r="M69" s="33" t="s">
        <v>7</v>
      </c>
      <c r="N69" s="33"/>
      <c r="O69" s="33" t="s">
        <v>7</v>
      </c>
      <c r="P69" s="33"/>
      <c r="Q69" s="33"/>
      <c r="R69" s="33"/>
      <c r="Y69" s="85"/>
    </row>
    <row r="70" spans="1:25" x14ac:dyDescent="0.25">
      <c r="A70" s="2"/>
    </row>
    <row r="71" spans="1:25" x14ac:dyDescent="0.25">
      <c r="A71" s="4" t="s">
        <v>291</v>
      </c>
      <c r="C71" s="5" t="s">
        <v>2428</v>
      </c>
      <c r="D71" s="6"/>
      <c r="E71" s="5" t="s">
        <v>1870</v>
      </c>
      <c r="G71" s="36" t="s">
        <v>1871</v>
      </c>
      <c r="H71" s="36" t="s">
        <v>1872</v>
      </c>
      <c r="I71" s="36" t="s">
        <v>1873</v>
      </c>
      <c r="J71" s="36" t="s">
        <v>1874</v>
      </c>
      <c r="K71" s="36" t="s">
        <v>1875</v>
      </c>
      <c r="L71" s="36" t="s">
        <v>1876</v>
      </c>
      <c r="M71" s="36" t="s">
        <v>1877</v>
      </c>
      <c r="N71" s="36" t="s">
        <v>1878</v>
      </c>
      <c r="O71" s="36" t="s">
        <v>1879</v>
      </c>
      <c r="P71" s="36" t="s">
        <v>1880</v>
      </c>
      <c r="Q71" s="36" t="s">
        <v>1881</v>
      </c>
      <c r="R71" s="36" t="s">
        <v>1882</v>
      </c>
    </row>
    <row r="72" spans="1:25" ht="45" x14ac:dyDescent="0.25">
      <c r="A72" s="7" t="s">
        <v>346</v>
      </c>
      <c r="C72" s="3">
        <f>+G72</f>
        <v>82757052.569999993</v>
      </c>
      <c r="E72" s="3">
        <v>91445324.890000001</v>
      </c>
      <c r="F72" s="100"/>
      <c r="G72" s="3">
        <v>82757052.569999993</v>
      </c>
    </row>
    <row r="73" spans="1:25" ht="30" x14ac:dyDescent="0.25">
      <c r="A73" s="7" t="s">
        <v>347</v>
      </c>
      <c r="C73" s="3">
        <v>3809294.59</v>
      </c>
      <c r="E73" s="3">
        <v>4699087.08</v>
      </c>
    </row>
    <row r="74" spans="1:25" ht="15.75" thickBot="1" x14ac:dyDescent="0.3">
      <c r="A74" s="2" t="s">
        <v>348</v>
      </c>
      <c r="B74" s="6"/>
      <c r="C74" s="9">
        <f>SUM(C72:C73)</f>
        <v>86566347.159999996</v>
      </c>
      <c r="D74" s="6"/>
      <c r="E74" s="9">
        <f>SUM(E72:E73)</f>
        <v>96144411.969999999</v>
      </c>
      <c r="G74" s="9">
        <f>SUM(G72:G73)</f>
        <v>82757052.569999993</v>
      </c>
      <c r="H74" s="9">
        <f t="shared" ref="H74:R74" si="13">SUM(H72:H73)</f>
        <v>0</v>
      </c>
      <c r="I74" s="9">
        <f t="shared" si="13"/>
        <v>0</v>
      </c>
      <c r="J74" s="9">
        <f t="shared" si="13"/>
        <v>0</v>
      </c>
      <c r="K74" s="9">
        <f t="shared" si="13"/>
        <v>0</v>
      </c>
      <c r="L74" s="9">
        <f t="shared" si="13"/>
        <v>0</v>
      </c>
      <c r="M74" s="9">
        <f t="shared" si="13"/>
        <v>0</v>
      </c>
      <c r="N74" s="9">
        <f t="shared" si="13"/>
        <v>0</v>
      </c>
      <c r="O74" s="9">
        <f t="shared" si="13"/>
        <v>0</v>
      </c>
      <c r="P74" s="9">
        <f t="shared" si="13"/>
        <v>0</v>
      </c>
      <c r="Q74" s="9">
        <f t="shared" si="13"/>
        <v>0</v>
      </c>
      <c r="R74" s="9">
        <f t="shared" si="13"/>
        <v>0</v>
      </c>
    </row>
    <row r="75" spans="1:25" ht="15.75" hidden="1" thickTop="1" x14ac:dyDescent="0.25">
      <c r="C75" s="3">
        <f>+C74-E74</f>
        <v>-9578064.8100000024</v>
      </c>
    </row>
    <row r="76" spans="1:25" ht="15.75" hidden="1" thickTop="1" x14ac:dyDescent="0.25">
      <c r="C76" s="53">
        <f>+C75/E74</f>
        <v>-9.9621648453044276E-2</v>
      </c>
    </row>
    <row r="77" spans="1:25" ht="15.75" thickTop="1" x14ac:dyDescent="0.25">
      <c r="A77" s="31" t="s">
        <v>1896</v>
      </c>
      <c r="B77" s="32"/>
      <c r="C77" s="33"/>
      <c r="D77" s="32"/>
      <c r="E77" s="33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25" x14ac:dyDescent="0.25">
      <c r="A78" s="2"/>
      <c r="F78" s="106"/>
    </row>
    <row r="79" spans="1:25" x14ac:dyDescent="0.25">
      <c r="A79" s="4" t="s">
        <v>291</v>
      </c>
      <c r="C79" s="5" t="s">
        <v>2428</v>
      </c>
      <c r="D79" s="6"/>
      <c r="E79" s="5" t="s">
        <v>1870</v>
      </c>
      <c r="G79" s="36" t="s">
        <v>1871</v>
      </c>
      <c r="H79" s="36" t="s">
        <v>1872</v>
      </c>
      <c r="I79" s="36" t="s">
        <v>1873</v>
      </c>
      <c r="J79" s="36" t="s">
        <v>1874</v>
      </c>
      <c r="K79" s="36" t="s">
        <v>1875</v>
      </c>
      <c r="L79" s="36" t="s">
        <v>1876</v>
      </c>
      <c r="M79" s="36" t="s">
        <v>1877</v>
      </c>
      <c r="N79" s="36" t="s">
        <v>1878</v>
      </c>
      <c r="O79" s="36" t="s">
        <v>1879</v>
      </c>
      <c r="P79" s="36" t="s">
        <v>1880</v>
      </c>
      <c r="Q79" s="36" t="s">
        <v>1881</v>
      </c>
      <c r="R79" s="36" t="s">
        <v>1882</v>
      </c>
    </row>
    <row r="80" spans="1:25" x14ac:dyDescent="0.25">
      <c r="A80" s="7" t="s">
        <v>350</v>
      </c>
      <c r="C80" s="3">
        <f>G80</f>
        <v>0</v>
      </c>
      <c r="E80" s="3">
        <v>0</v>
      </c>
      <c r="G80" s="3">
        <v>0</v>
      </c>
    </row>
    <row r="81" spans="1:18" x14ac:dyDescent="0.25">
      <c r="A81" s="7" t="s">
        <v>351</v>
      </c>
      <c r="C81" s="3">
        <f t="shared" ref="C81:C84" si="14">G81</f>
        <v>97323.889999999898</v>
      </c>
      <c r="E81" s="3">
        <v>299849.96999999997</v>
      </c>
      <c r="G81" s="3">
        <v>97323.889999999898</v>
      </c>
    </row>
    <row r="82" spans="1:18" x14ac:dyDescent="0.25">
      <c r="A82" s="7" t="s">
        <v>352</v>
      </c>
      <c r="C82" s="3">
        <f t="shared" si="14"/>
        <v>0</v>
      </c>
      <c r="E82" s="3">
        <v>198394.7</v>
      </c>
      <c r="G82" s="3">
        <v>0</v>
      </c>
    </row>
    <row r="83" spans="1:18" x14ac:dyDescent="0.25">
      <c r="A83" s="7" t="s">
        <v>353</v>
      </c>
      <c r="C83" s="3">
        <f t="shared" si="14"/>
        <v>4857182.7033333303</v>
      </c>
      <c r="E83" s="3">
        <v>12157097.49</v>
      </c>
      <c r="G83" s="3">
        <v>4857182.7033333303</v>
      </c>
    </row>
    <row r="84" spans="1:18" x14ac:dyDescent="0.25">
      <c r="A84" s="7" t="s">
        <v>1897</v>
      </c>
      <c r="C84" s="3">
        <f t="shared" si="14"/>
        <v>0</v>
      </c>
      <c r="E84" s="3">
        <v>0</v>
      </c>
    </row>
    <row r="85" spans="1:18" ht="15.75" thickBot="1" x14ac:dyDescent="0.3">
      <c r="A85" s="2" t="s">
        <v>355</v>
      </c>
      <c r="B85" s="6"/>
      <c r="C85" s="9">
        <f>SUM(C80:C84)</f>
        <v>4954506.59333333</v>
      </c>
      <c r="D85" s="6"/>
      <c r="E85" s="9">
        <f>SUM(E80:E84)</f>
        <v>12655342.16</v>
      </c>
      <c r="G85" s="9">
        <f>SUM(G80:G84)</f>
        <v>4954506.59333333</v>
      </c>
      <c r="H85" s="9">
        <f t="shared" ref="H85:R85" si="15">SUM(H80:H84)</f>
        <v>0</v>
      </c>
      <c r="I85" s="9">
        <f t="shared" si="15"/>
        <v>0</v>
      </c>
      <c r="J85" s="9">
        <f t="shared" si="15"/>
        <v>0</v>
      </c>
      <c r="K85" s="9">
        <f t="shared" si="15"/>
        <v>0</v>
      </c>
      <c r="L85" s="9">
        <f t="shared" si="15"/>
        <v>0</v>
      </c>
      <c r="M85" s="9">
        <f>SUM(M80:M84)</f>
        <v>0</v>
      </c>
      <c r="N85" s="9">
        <f>SUM(N80:N84)</f>
        <v>0</v>
      </c>
      <c r="O85" s="9">
        <f t="shared" si="15"/>
        <v>0</v>
      </c>
      <c r="P85" s="9">
        <f t="shared" si="15"/>
        <v>0</v>
      </c>
      <c r="Q85" s="9">
        <f t="shared" si="15"/>
        <v>0</v>
      </c>
      <c r="R85" s="9">
        <f t="shared" si="15"/>
        <v>0</v>
      </c>
    </row>
    <row r="86" spans="1:18" ht="15.75" hidden="1" thickTop="1" x14ac:dyDescent="0.25">
      <c r="C86" s="3">
        <f>+C85-E85</f>
        <v>-7700835.5666666701</v>
      </c>
    </row>
    <row r="87" spans="1:18" ht="15.75" hidden="1" thickTop="1" x14ac:dyDescent="0.25">
      <c r="C87" s="55">
        <f>+C86/E85</f>
        <v>-0.60850473020056772</v>
      </c>
    </row>
    <row r="88" spans="1:18" ht="15.75" thickTop="1" x14ac:dyDescent="0.25">
      <c r="C88" s="55"/>
      <c r="M88" s="3" t="s">
        <v>7</v>
      </c>
    </row>
    <row r="89" spans="1:18" x14ac:dyDescent="0.25">
      <c r="A89" s="31" t="s">
        <v>1898</v>
      </c>
      <c r="B89" s="32"/>
      <c r="C89" s="33"/>
      <c r="D89" s="32"/>
      <c r="E89" s="33"/>
      <c r="F89" s="32"/>
      <c r="G89" s="33"/>
      <c r="H89" s="33"/>
      <c r="I89" s="33"/>
      <c r="J89" s="33"/>
      <c r="K89" s="33"/>
      <c r="L89" s="33"/>
      <c r="M89" s="33" t="s">
        <v>7</v>
      </c>
      <c r="N89" s="33"/>
      <c r="O89" s="33"/>
      <c r="P89" s="33"/>
      <c r="Q89" s="33"/>
      <c r="R89" s="33"/>
    </row>
    <row r="90" spans="1:18" x14ac:dyDescent="0.25">
      <c r="A90" s="2"/>
      <c r="M90" s="3" t="s">
        <v>7</v>
      </c>
      <c r="R90" s="3" t="s">
        <v>7</v>
      </c>
    </row>
    <row r="91" spans="1:18" ht="45" hidden="1" x14ac:dyDescent="0.2">
      <c r="A91" s="19"/>
      <c r="B91" s="20"/>
      <c r="C91" s="21" t="s">
        <v>357</v>
      </c>
      <c r="D91" s="20"/>
      <c r="E91" s="21" t="s">
        <v>358</v>
      </c>
      <c r="F91" s="20"/>
      <c r="G91" s="45" t="s">
        <v>359</v>
      </c>
      <c r="H91" s="46" t="s">
        <v>360</v>
      </c>
      <c r="I91" s="38"/>
    </row>
    <row r="92" spans="1:18" hidden="1" x14ac:dyDescent="0.25">
      <c r="A92" s="22" t="s">
        <v>368</v>
      </c>
      <c r="B92" s="20"/>
      <c r="C92" s="23">
        <v>435917181.16000003</v>
      </c>
      <c r="D92" s="24"/>
      <c r="E92" s="23">
        <v>111980014.55</v>
      </c>
      <c r="F92" s="24"/>
      <c r="G92" s="37">
        <v>2050790.8</v>
      </c>
      <c r="H92" s="37">
        <f>SUM(C92:G92)</f>
        <v>549947986.50999999</v>
      </c>
      <c r="I92" s="38"/>
    </row>
    <row r="93" spans="1:18" hidden="1" x14ac:dyDescent="0.25">
      <c r="A93" s="25" t="s">
        <v>369</v>
      </c>
      <c r="B93" s="20"/>
      <c r="C93" s="58"/>
      <c r="D93" s="59"/>
      <c r="E93" s="58"/>
      <c r="F93" s="59"/>
      <c r="G93" s="72"/>
      <c r="H93" s="60">
        <f>SUM(C93:G93)</f>
        <v>0</v>
      </c>
      <c r="I93" s="38"/>
    </row>
    <row r="94" spans="1:18" ht="15.75" hidden="1" thickBot="1" x14ac:dyDescent="0.3">
      <c r="A94" s="25" t="s">
        <v>1254</v>
      </c>
      <c r="B94" s="20"/>
      <c r="C94" s="26">
        <f>SUM(C92:C93)</f>
        <v>435917181.16000003</v>
      </c>
      <c r="D94" s="24"/>
      <c r="E94" s="26">
        <f>SUM(E92:E93)</f>
        <v>111980014.55</v>
      </c>
      <c r="F94" s="24"/>
      <c r="G94" s="39">
        <f>SUM(G92:G93)</f>
        <v>2050790.8</v>
      </c>
      <c r="H94" s="39">
        <f>SUM(H92:H93)</f>
        <v>549947986.50999999</v>
      </c>
      <c r="I94" s="38"/>
    </row>
    <row r="95" spans="1:18" hidden="1" x14ac:dyDescent="0.25">
      <c r="A95" s="22" t="s">
        <v>364</v>
      </c>
      <c r="B95" s="20"/>
      <c r="C95" s="27"/>
      <c r="D95" s="24"/>
      <c r="E95" s="27"/>
      <c r="F95" s="24"/>
      <c r="G95" s="40"/>
      <c r="H95" s="40"/>
      <c r="I95" s="38"/>
      <c r="J95"/>
      <c r="K95"/>
    </row>
    <row r="96" spans="1:18" hidden="1" x14ac:dyDescent="0.25">
      <c r="A96" s="25" t="s">
        <v>365</v>
      </c>
      <c r="B96" s="20"/>
      <c r="C96" s="23">
        <v>-335989468.41000003</v>
      </c>
      <c r="D96" s="24"/>
      <c r="E96" s="23">
        <v>-71732563.510000005</v>
      </c>
      <c r="F96" s="24"/>
      <c r="G96" s="37">
        <v>-1274602.4099999999</v>
      </c>
      <c r="H96" s="37">
        <f>SUM(C96:G96)</f>
        <v>-408996634.33000004</v>
      </c>
      <c r="I96" s="38"/>
      <c r="J96"/>
      <c r="K96"/>
    </row>
    <row r="97" spans="1:18" hidden="1" x14ac:dyDescent="0.25">
      <c r="A97" s="25" t="s">
        <v>366</v>
      </c>
      <c r="B97" s="20"/>
      <c r="C97" s="58"/>
      <c r="D97" s="59"/>
      <c r="E97" s="58"/>
      <c r="F97" s="59"/>
      <c r="G97" s="60"/>
      <c r="H97" s="60">
        <f>SUM(C97:G97)</f>
        <v>0</v>
      </c>
      <c r="I97" s="38"/>
      <c r="J97"/>
      <c r="K97"/>
    </row>
    <row r="98" spans="1:18" ht="15.75" hidden="1" thickBot="1" x14ac:dyDescent="0.3">
      <c r="A98" s="25" t="s">
        <v>1899</v>
      </c>
      <c r="B98" s="20"/>
      <c r="C98" s="57">
        <v>0</v>
      </c>
      <c r="D98" s="24"/>
      <c r="E98" s="57">
        <v>0</v>
      </c>
      <c r="F98" s="24"/>
      <c r="G98" s="57">
        <v>0</v>
      </c>
      <c r="H98" s="56">
        <f>SUM(C98:G98)</f>
        <v>0</v>
      </c>
      <c r="I98" s="38"/>
    </row>
    <row r="99" spans="1:18" ht="15.75" hidden="1" thickBot="1" x14ac:dyDescent="0.3">
      <c r="A99" s="25" t="s">
        <v>367</v>
      </c>
      <c r="B99" s="20"/>
      <c r="C99" s="28">
        <f>SUM(C96:C98)</f>
        <v>-335989468.41000003</v>
      </c>
      <c r="D99" s="24"/>
      <c r="E99" s="28">
        <f>SUM(E96:E98)</f>
        <v>-71732563.510000005</v>
      </c>
      <c r="F99" s="24"/>
      <c r="G99" s="41">
        <f>SUM(G96:G98)</f>
        <v>-1274602.4099999999</v>
      </c>
      <c r="H99" s="42">
        <f>SUM(H96:H98)</f>
        <v>-408996634.33000004</v>
      </c>
      <c r="I99" s="38"/>
    </row>
    <row r="100" spans="1:18" ht="15.75" hidden="1" thickBot="1" x14ac:dyDescent="0.3">
      <c r="A100" s="29" t="s">
        <v>1255</v>
      </c>
      <c r="B100" s="20"/>
      <c r="C100" s="30">
        <f t="shared" ref="C100:G100" si="16">+C94+C99</f>
        <v>99927712.75</v>
      </c>
      <c r="D100" s="24"/>
      <c r="E100" s="30">
        <f t="shared" si="16"/>
        <v>40247451.039999992</v>
      </c>
      <c r="F100" s="24"/>
      <c r="G100" s="43">
        <f t="shared" si="16"/>
        <v>776188.39000000013</v>
      </c>
      <c r="H100" s="43">
        <f>+H94+H99</f>
        <v>140951352.17999995</v>
      </c>
      <c r="I100" s="38"/>
    </row>
    <row r="101" spans="1:18" hidden="1" x14ac:dyDescent="0.25"/>
    <row r="102" spans="1:18" x14ac:dyDescent="0.25">
      <c r="M102" s="3" t="s">
        <v>7</v>
      </c>
      <c r="N102" s="3" t="s">
        <v>7</v>
      </c>
      <c r="O102" s="3" t="s">
        <v>7</v>
      </c>
      <c r="P102" s="3" t="s">
        <v>7</v>
      </c>
    </row>
    <row r="103" spans="1:18" x14ac:dyDescent="0.25">
      <c r="A103" s="31" t="s">
        <v>1900</v>
      </c>
      <c r="B103" s="32"/>
      <c r="C103" s="33"/>
      <c r="D103" s="32"/>
      <c r="E103" s="33"/>
      <c r="F103" s="32"/>
      <c r="G103" s="33"/>
      <c r="H103" s="33"/>
      <c r="I103" s="33"/>
      <c r="J103" s="33"/>
      <c r="K103" s="33"/>
      <c r="L103" s="33"/>
      <c r="M103" s="33" t="s">
        <v>7</v>
      </c>
      <c r="N103" s="33"/>
      <c r="O103" s="33" t="s">
        <v>7</v>
      </c>
      <c r="P103" s="33" t="s">
        <v>7</v>
      </c>
      <c r="Q103" s="33"/>
      <c r="R103" s="33"/>
    </row>
    <row r="104" spans="1:18" x14ac:dyDescent="0.25">
      <c r="A104" s="2"/>
      <c r="H104" s="3" t="s">
        <v>7</v>
      </c>
      <c r="M104" s="3" t="s">
        <v>7</v>
      </c>
      <c r="N104" s="3" t="s">
        <v>7</v>
      </c>
      <c r="O104" s="3" t="s">
        <v>57</v>
      </c>
      <c r="P104" s="3" t="s">
        <v>7</v>
      </c>
    </row>
    <row r="105" spans="1:18" x14ac:dyDescent="0.25">
      <c r="A105" s="4" t="s">
        <v>291</v>
      </c>
      <c r="C105" s="5" t="s">
        <v>2428</v>
      </c>
      <c r="D105" s="6"/>
      <c r="E105" s="5" t="s">
        <v>1870</v>
      </c>
      <c r="G105" s="36" t="s">
        <v>1871</v>
      </c>
      <c r="H105" s="36" t="s">
        <v>1872</v>
      </c>
      <c r="I105" s="36" t="s">
        <v>1873</v>
      </c>
      <c r="J105" s="36" t="s">
        <v>1874</v>
      </c>
      <c r="K105" s="36" t="s">
        <v>1875</v>
      </c>
      <c r="L105" s="36" t="s">
        <v>1876</v>
      </c>
      <c r="M105" s="36" t="s">
        <v>1877</v>
      </c>
      <c r="N105" s="36" t="s">
        <v>1878</v>
      </c>
      <c r="O105" s="36" t="s">
        <v>1879</v>
      </c>
      <c r="P105" s="36" t="s">
        <v>1880</v>
      </c>
      <c r="Q105" s="36" t="s">
        <v>1881</v>
      </c>
      <c r="R105" s="36" t="s">
        <v>1882</v>
      </c>
    </row>
    <row r="106" spans="1:18" ht="30" x14ac:dyDescent="0.25">
      <c r="A106" s="7" t="s">
        <v>2457</v>
      </c>
      <c r="C106" s="3">
        <f t="shared" ref="C106:C108" si="17">+G106</f>
        <v>270165619.80000001</v>
      </c>
      <c r="E106" s="3">
        <v>90068929.769999996</v>
      </c>
      <c r="G106" s="3">
        <v>270165619.80000001</v>
      </c>
    </row>
    <row r="107" spans="1:18" x14ac:dyDescent="0.25">
      <c r="A107" s="7" t="s">
        <v>2458</v>
      </c>
      <c r="C107" s="3">
        <f t="shared" si="17"/>
        <v>0</v>
      </c>
      <c r="E107" s="3">
        <v>0</v>
      </c>
      <c r="G107" s="3">
        <v>0</v>
      </c>
    </row>
    <row r="108" spans="1:18" x14ac:dyDescent="0.25">
      <c r="A108" s="7" t="s">
        <v>1901</v>
      </c>
      <c r="C108" s="3">
        <f t="shared" si="17"/>
        <v>0</v>
      </c>
      <c r="E108" s="3">
        <v>0</v>
      </c>
      <c r="G108" s="3">
        <v>0</v>
      </c>
    </row>
    <row r="109" spans="1:18" ht="15.75" thickBot="1" x14ac:dyDescent="0.3">
      <c r="A109" s="2" t="s">
        <v>373</v>
      </c>
      <c r="B109" s="6"/>
      <c r="C109" s="9">
        <f>SUM(C106:C108)</f>
        <v>270165619.80000001</v>
      </c>
      <c r="D109" s="6"/>
      <c r="E109" s="9">
        <f>SUM(E106:E108)</f>
        <v>90068929.769999996</v>
      </c>
      <c r="G109" s="9">
        <f>SUM(G106:G108)</f>
        <v>270165619.80000001</v>
      </c>
      <c r="H109" s="9">
        <f t="shared" ref="H109:R109" si="18">SUM(H106:H108)</f>
        <v>0</v>
      </c>
      <c r="I109" s="9">
        <f t="shared" si="18"/>
        <v>0</v>
      </c>
      <c r="J109" s="9">
        <f t="shared" si="18"/>
        <v>0</v>
      </c>
      <c r="K109" s="9">
        <f t="shared" si="18"/>
        <v>0</v>
      </c>
      <c r="L109" s="9">
        <f t="shared" si="18"/>
        <v>0</v>
      </c>
      <c r="M109" s="9">
        <f t="shared" si="18"/>
        <v>0</v>
      </c>
      <c r="N109" s="9">
        <f t="shared" si="18"/>
        <v>0</v>
      </c>
      <c r="O109" s="9">
        <f t="shared" si="18"/>
        <v>0</v>
      </c>
      <c r="P109" s="9">
        <f t="shared" si="18"/>
        <v>0</v>
      </c>
      <c r="Q109" s="9">
        <f t="shared" si="18"/>
        <v>0</v>
      </c>
      <c r="R109" s="9">
        <f t="shared" si="18"/>
        <v>0</v>
      </c>
    </row>
    <row r="110" spans="1:18" ht="15.75" hidden="1" thickTop="1" x14ac:dyDescent="0.25">
      <c r="C110" s="3">
        <f>+C109-E109</f>
        <v>180096690.03000003</v>
      </c>
    </row>
    <row r="111" spans="1:18" ht="15.75" hidden="1" thickTop="1" x14ac:dyDescent="0.25">
      <c r="C111" s="53">
        <f>+C110/E109</f>
        <v>1.9995429110781588</v>
      </c>
    </row>
    <row r="112" spans="1:18" ht="15.75" thickTop="1" x14ac:dyDescent="0.25">
      <c r="A112" s="31" t="s">
        <v>1902</v>
      </c>
      <c r="B112" s="32"/>
      <c r="C112" s="33"/>
      <c r="D112" s="32"/>
      <c r="E112" s="33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</row>
    <row r="113" spans="1:18" x14ac:dyDescent="0.25">
      <c r="A113" s="2"/>
    </row>
    <row r="114" spans="1:18" x14ac:dyDescent="0.25">
      <c r="A114" s="4" t="s">
        <v>291</v>
      </c>
      <c r="C114" s="5" t="s">
        <v>2428</v>
      </c>
      <c r="D114" s="6"/>
      <c r="E114" s="5" t="s">
        <v>1870</v>
      </c>
      <c r="G114" s="36" t="s">
        <v>1871</v>
      </c>
      <c r="H114" s="36" t="s">
        <v>1872</v>
      </c>
      <c r="I114" s="36" t="s">
        <v>1873</v>
      </c>
      <c r="J114" s="36" t="s">
        <v>1874</v>
      </c>
      <c r="K114" s="36" t="s">
        <v>1875</v>
      </c>
      <c r="L114" s="36" t="s">
        <v>1876</v>
      </c>
      <c r="M114" s="36" t="s">
        <v>1877</v>
      </c>
      <c r="N114" s="36" t="s">
        <v>1878</v>
      </c>
      <c r="O114" s="36" t="s">
        <v>1879</v>
      </c>
      <c r="P114" s="36" t="s">
        <v>1880</v>
      </c>
      <c r="Q114" s="36" t="s">
        <v>1881</v>
      </c>
      <c r="R114" s="36" t="s">
        <v>1882</v>
      </c>
    </row>
    <row r="115" spans="1:18" x14ac:dyDescent="0.25">
      <c r="A115" s="7" t="s">
        <v>1903</v>
      </c>
      <c r="C115" s="3">
        <f>SUM(G115:R115)</f>
        <v>2700</v>
      </c>
      <c r="D115" s="48"/>
      <c r="E115" s="47">
        <v>4615.72</v>
      </c>
      <c r="F115" s="48"/>
      <c r="G115" s="47">
        <v>2700</v>
      </c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</row>
    <row r="116" spans="1:18" x14ac:dyDescent="0.25">
      <c r="A116" s="7" t="s">
        <v>1904</v>
      </c>
      <c r="C116" s="3">
        <f t="shared" ref="C116:C119" si="19">SUM(G116:R116)</f>
        <v>750</v>
      </c>
      <c r="D116" s="48"/>
      <c r="E116" s="47">
        <v>81336.850000000006</v>
      </c>
      <c r="F116" s="48"/>
      <c r="G116" s="47">
        <v>750</v>
      </c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</row>
    <row r="117" spans="1:18" x14ac:dyDescent="0.25">
      <c r="A117" s="7" t="s">
        <v>1905</v>
      </c>
      <c r="C117" s="3">
        <f t="shared" si="19"/>
        <v>0</v>
      </c>
      <c r="D117" s="48"/>
      <c r="E117" s="47">
        <v>30318.31</v>
      </c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</row>
    <row r="118" spans="1:18" x14ac:dyDescent="0.25">
      <c r="A118" s="7" t="s">
        <v>378</v>
      </c>
      <c r="C118" s="3">
        <f t="shared" si="19"/>
        <v>0</v>
      </c>
      <c r="D118" s="48"/>
      <c r="E118" s="47">
        <v>0</v>
      </c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</row>
    <row r="119" spans="1:18" x14ac:dyDescent="0.25">
      <c r="A119" s="7" t="s">
        <v>1906</v>
      </c>
      <c r="C119" s="3">
        <f t="shared" si="19"/>
        <v>0</v>
      </c>
      <c r="D119" s="48"/>
      <c r="E119" s="47">
        <v>0</v>
      </c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</row>
    <row r="120" spans="1:18" ht="30.75" thickBot="1" x14ac:dyDescent="0.3">
      <c r="A120" s="2" t="s">
        <v>1907</v>
      </c>
      <c r="B120" s="6"/>
      <c r="C120" s="9">
        <f>SUM(C115:C119)</f>
        <v>3450</v>
      </c>
      <c r="D120" s="6"/>
      <c r="E120" s="9">
        <f>SUM(E115:E119)</f>
        <v>116270.88</v>
      </c>
      <c r="G120" s="9">
        <f>SUM(G115:G119)</f>
        <v>3450</v>
      </c>
      <c r="H120" s="9">
        <f t="shared" ref="H120:R120" si="20">SUM(H115:H119)</f>
        <v>0</v>
      </c>
      <c r="I120" s="9">
        <f t="shared" si="20"/>
        <v>0</v>
      </c>
      <c r="J120" s="9">
        <f t="shared" si="20"/>
        <v>0</v>
      </c>
      <c r="K120" s="9">
        <f t="shared" si="20"/>
        <v>0</v>
      </c>
      <c r="L120" s="9">
        <f t="shared" si="20"/>
        <v>0</v>
      </c>
      <c r="M120" s="9">
        <f t="shared" si="20"/>
        <v>0</v>
      </c>
      <c r="N120" s="9">
        <f t="shared" si="20"/>
        <v>0</v>
      </c>
      <c r="O120" s="9">
        <f t="shared" si="20"/>
        <v>0</v>
      </c>
      <c r="P120" s="9">
        <f t="shared" si="20"/>
        <v>0</v>
      </c>
      <c r="Q120" s="9">
        <f t="shared" si="20"/>
        <v>0</v>
      </c>
      <c r="R120" s="9">
        <f t="shared" si="20"/>
        <v>0</v>
      </c>
    </row>
    <row r="121" spans="1:18" ht="15.75" hidden="1" thickTop="1" x14ac:dyDescent="0.25">
      <c r="C121" s="3">
        <f>+C120-E120</f>
        <v>-112820.88</v>
      </c>
    </row>
    <row r="122" spans="1:18" ht="15.75" hidden="1" thickTop="1" x14ac:dyDescent="0.25">
      <c r="C122" s="53">
        <f>+C121/E120</f>
        <v>-0.97032791013536668</v>
      </c>
    </row>
    <row r="123" spans="1:18" ht="15.75" thickTop="1" x14ac:dyDescent="0.25">
      <c r="A123" s="31" t="s">
        <v>1908</v>
      </c>
      <c r="B123" s="32"/>
      <c r="C123" s="33"/>
      <c r="D123" s="32"/>
      <c r="E123" s="33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</row>
    <row r="124" spans="1:18" x14ac:dyDescent="0.25">
      <c r="A124" s="2"/>
    </row>
    <row r="125" spans="1:18" x14ac:dyDescent="0.25">
      <c r="A125" s="4" t="s">
        <v>291</v>
      </c>
      <c r="C125" s="5" t="s">
        <v>2428</v>
      </c>
      <c r="D125" s="6"/>
      <c r="E125" s="5" t="s">
        <v>1870</v>
      </c>
      <c r="G125" s="36" t="s">
        <v>1871</v>
      </c>
      <c r="H125" s="36" t="s">
        <v>1872</v>
      </c>
      <c r="I125" s="36" t="s">
        <v>1873</v>
      </c>
      <c r="J125" s="36" t="s">
        <v>1874</v>
      </c>
      <c r="K125" s="36" t="s">
        <v>1875</v>
      </c>
      <c r="L125" s="36" t="s">
        <v>1876</v>
      </c>
      <c r="M125" s="36" t="s">
        <v>1877</v>
      </c>
      <c r="N125" s="36" t="s">
        <v>1878</v>
      </c>
      <c r="O125" s="36" t="s">
        <v>1879</v>
      </c>
      <c r="P125" s="36" t="s">
        <v>1880</v>
      </c>
      <c r="Q125" s="36" t="s">
        <v>1881</v>
      </c>
      <c r="R125" s="36" t="s">
        <v>1882</v>
      </c>
    </row>
    <row r="126" spans="1:18" x14ac:dyDescent="0.25">
      <c r="A126" s="7" t="s">
        <v>382</v>
      </c>
      <c r="C126" s="132">
        <f>G126</f>
        <v>534638142.77999997</v>
      </c>
      <c r="E126" s="132">
        <v>534638142.77999997</v>
      </c>
      <c r="G126" s="132">
        <v>534638142.77999997</v>
      </c>
    </row>
    <row r="127" spans="1:18" x14ac:dyDescent="0.25">
      <c r="A127" s="7" t="s">
        <v>1909</v>
      </c>
      <c r="C127" s="132">
        <f t="shared" ref="C127:C129" si="21">G127</f>
        <v>-227237303.954</v>
      </c>
      <c r="E127" s="177">
        <v>-129597645.56</v>
      </c>
      <c r="G127" s="177">
        <v>-227237303.954</v>
      </c>
      <c r="M127" s="64"/>
      <c r="O127" s="132"/>
    </row>
    <row r="128" spans="1:18" x14ac:dyDescent="0.25">
      <c r="A128" s="7" t="s">
        <v>1965</v>
      </c>
      <c r="C128" s="132">
        <f t="shared" si="21"/>
        <v>-31453392.66</v>
      </c>
      <c r="E128" s="164">
        <v>60063303.200000003</v>
      </c>
      <c r="G128" s="164">
        <v>-31453392.66</v>
      </c>
      <c r="M128" s="64"/>
      <c r="O128" s="64"/>
    </row>
    <row r="129" spans="1:36" x14ac:dyDescent="0.25">
      <c r="A129" s="7" t="s">
        <v>1910</v>
      </c>
      <c r="C129" s="132">
        <f t="shared" si="21"/>
        <v>55345843.439999975</v>
      </c>
      <c r="E129" s="64">
        <v>30916755.440000001</v>
      </c>
      <c r="G129" s="64">
        <f>'EST. CAMBIO'!F23</f>
        <v>55345843.439999975</v>
      </c>
      <c r="M129" s="132"/>
      <c r="O129" s="64"/>
    </row>
    <row r="130" spans="1:36" s="6" customFormat="1" ht="15.75" thickBot="1" x14ac:dyDescent="0.3">
      <c r="A130" s="2" t="s">
        <v>1911</v>
      </c>
      <c r="C130" s="9">
        <f>SUM(C126:C129)</f>
        <v>331293289.60599995</v>
      </c>
      <c r="E130" s="9">
        <f>SUM(E126:E129)</f>
        <v>496020555.85999995</v>
      </c>
      <c r="G130" s="9">
        <f>SUM(G126:G129)</f>
        <v>331293289.60599995</v>
      </c>
      <c r="H130" s="9">
        <f t="shared" ref="H130:R130" si="22">SUM(H126:H129)</f>
        <v>0</v>
      </c>
      <c r="I130" s="9">
        <f t="shared" si="22"/>
        <v>0</v>
      </c>
      <c r="J130" s="9">
        <f t="shared" si="22"/>
        <v>0</v>
      </c>
      <c r="K130" s="9">
        <f t="shared" si="22"/>
        <v>0</v>
      </c>
      <c r="L130" s="9">
        <f t="shared" si="22"/>
        <v>0</v>
      </c>
      <c r="M130" s="9">
        <f t="shared" si="22"/>
        <v>0</v>
      </c>
      <c r="N130" s="9">
        <f t="shared" si="22"/>
        <v>0</v>
      </c>
      <c r="O130" s="9">
        <f t="shared" si="22"/>
        <v>0</v>
      </c>
      <c r="P130" s="9">
        <f t="shared" si="22"/>
        <v>0</v>
      </c>
      <c r="Q130" s="9">
        <f t="shared" si="22"/>
        <v>0</v>
      </c>
      <c r="R130" s="9">
        <f t="shared" si="22"/>
        <v>0</v>
      </c>
      <c r="S130" s="5"/>
      <c r="T130" s="52"/>
      <c r="U130" s="52"/>
      <c r="V130" s="52"/>
      <c r="W130" s="52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</row>
    <row r="131" spans="1:36" ht="15.75" hidden="1" thickTop="1" x14ac:dyDescent="0.25">
      <c r="C131" s="3">
        <f>+C130-E130</f>
        <v>-164727266.25400001</v>
      </c>
    </row>
    <row r="132" spans="1:36" ht="15.75" hidden="1" thickTop="1" x14ac:dyDescent="0.25">
      <c r="C132" s="53">
        <f>+C131/E130</f>
        <v>-0.33209766068746088</v>
      </c>
    </row>
    <row r="133" spans="1:36" ht="15.75" thickTop="1" x14ac:dyDescent="0.25">
      <c r="A133" s="31" t="s">
        <v>1912</v>
      </c>
      <c r="B133" s="32"/>
      <c r="C133" s="33"/>
      <c r="D133" s="32"/>
      <c r="E133" s="33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36" x14ac:dyDescent="0.25">
      <c r="L134" s="169"/>
      <c r="M134" s="169"/>
    </row>
    <row r="135" spans="1:36" x14ac:dyDescent="0.25">
      <c r="A135" s="4" t="s">
        <v>291</v>
      </c>
      <c r="C135" s="5" t="s">
        <v>2428</v>
      </c>
      <c r="D135" s="6"/>
      <c r="E135" s="5" t="s">
        <v>1870</v>
      </c>
      <c r="G135" s="36" t="s">
        <v>1871</v>
      </c>
      <c r="H135" s="36" t="s">
        <v>1872</v>
      </c>
      <c r="I135" s="36" t="s">
        <v>1873</v>
      </c>
      <c r="J135" s="36" t="s">
        <v>1874</v>
      </c>
      <c r="K135" s="36" t="s">
        <v>1875</v>
      </c>
      <c r="L135" s="36" t="s">
        <v>1876</v>
      </c>
      <c r="M135" s="36" t="s">
        <v>1877</v>
      </c>
      <c r="N135" s="36" t="s">
        <v>1878</v>
      </c>
      <c r="O135" s="36" t="s">
        <v>1879</v>
      </c>
      <c r="P135" s="36" t="s">
        <v>1880</v>
      </c>
      <c r="Q135" s="36" t="s">
        <v>1881</v>
      </c>
      <c r="R135" s="36" t="s">
        <v>1882</v>
      </c>
    </row>
    <row r="136" spans="1:36" x14ac:dyDescent="0.25">
      <c r="A136" s="7" t="s">
        <v>385</v>
      </c>
      <c r="C136" s="3">
        <f>SUM(G136:R136)</f>
        <v>84412052.420000002</v>
      </c>
      <c r="E136" s="3">
        <v>52021891.329999998</v>
      </c>
      <c r="F136" s="8"/>
      <c r="G136" s="3">
        <f>23508490.23+10529168.73+3975372.76+36995986.2+8000641.28+1402393.22</f>
        <v>84412052.420000002</v>
      </c>
    </row>
    <row r="137" spans="1:36" x14ac:dyDescent="0.25">
      <c r="A137" s="7" t="s">
        <v>386</v>
      </c>
      <c r="C137" s="3">
        <f t="shared" ref="C137:C141" si="23">SUM(G137:R137)</f>
        <v>9935430.3600000013</v>
      </c>
      <c r="E137" s="3">
        <v>8217101.4500000002</v>
      </c>
      <c r="F137" s="8"/>
      <c r="G137" s="3">
        <f>159977.52+21180+1000+235736.25+1989134.31+6550+796432.94+2500+39618.76+133553.75+41142.29+35996.04+171625+540948.31+3409637.79+1697041.12+10366.5+11883.48+62818.31+64585.88+500+50990+452212.11</f>
        <v>9935430.3600000013</v>
      </c>
    </row>
    <row r="138" spans="1:36" x14ac:dyDescent="0.25">
      <c r="A138" s="7" t="s">
        <v>387</v>
      </c>
      <c r="C138" s="3">
        <f t="shared" si="23"/>
        <v>2520899.88</v>
      </c>
      <c r="E138" s="3">
        <v>5270551.38</v>
      </c>
      <c r="F138" s="8"/>
      <c r="G138" s="3">
        <v>2520899.88</v>
      </c>
      <c r="Y138" s="166">
        <f>R136+R137</f>
        <v>0</v>
      </c>
    </row>
    <row r="139" spans="1:36" x14ac:dyDescent="0.25">
      <c r="A139" s="7" t="s">
        <v>388</v>
      </c>
      <c r="C139" s="3">
        <f t="shared" si="23"/>
        <v>0</v>
      </c>
      <c r="E139" s="3">
        <v>0</v>
      </c>
      <c r="F139" s="8"/>
      <c r="G139" s="3">
        <v>0</v>
      </c>
      <c r="Y139" s="166"/>
    </row>
    <row r="140" spans="1:36" x14ac:dyDescent="0.25">
      <c r="A140" s="7" t="s">
        <v>1913</v>
      </c>
      <c r="C140" s="3">
        <f t="shared" si="23"/>
        <v>0</v>
      </c>
      <c r="E140" s="3">
        <v>0</v>
      </c>
      <c r="F140" s="8"/>
    </row>
    <row r="141" spans="1:36" x14ac:dyDescent="0.25">
      <c r="A141" s="7" t="s">
        <v>390</v>
      </c>
      <c r="C141" s="3">
        <f t="shared" si="23"/>
        <v>453503.21</v>
      </c>
      <c r="E141" s="3">
        <v>0</v>
      </c>
      <c r="F141" s="8"/>
      <c r="G141" s="3">
        <f>183000+270503.21</f>
        <v>453503.21</v>
      </c>
    </row>
    <row r="142" spans="1:36" s="6" customFormat="1" ht="15.75" thickBot="1" x14ac:dyDescent="0.3">
      <c r="A142" s="2" t="s">
        <v>391</v>
      </c>
      <c r="C142" s="9">
        <f>SUM(C136:C141)</f>
        <v>97321885.86999999</v>
      </c>
      <c r="E142" s="9">
        <f>SUM(E136:E141)</f>
        <v>65509544.160000004</v>
      </c>
      <c r="F142" s="10"/>
      <c r="G142" s="9">
        <f>SUM(G136:G141)</f>
        <v>97321885.86999999</v>
      </c>
      <c r="H142" s="9">
        <f t="shared" ref="H142:R142" si="24">SUM(H136:H141)</f>
        <v>0</v>
      </c>
      <c r="I142" s="9">
        <f t="shared" si="24"/>
        <v>0</v>
      </c>
      <c r="J142" s="9">
        <f t="shared" si="24"/>
        <v>0</v>
      </c>
      <c r="K142" s="9">
        <f t="shared" si="24"/>
        <v>0</v>
      </c>
      <c r="L142" s="9">
        <f t="shared" si="24"/>
        <v>0</v>
      </c>
      <c r="M142" s="9">
        <f t="shared" si="24"/>
        <v>0</v>
      </c>
      <c r="N142" s="9">
        <f>SUM(N136:N141)</f>
        <v>0</v>
      </c>
      <c r="O142" s="9">
        <f t="shared" si="24"/>
        <v>0</v>
      </c>
      <c r="P142" s="9">
        <f t="shared" si="24"/>
        <v>0</v>
      </c>
      <c r="Q142" s="9">
        <f t="shared" si="24"/>
        <v>0</v>
      </c>
      <c r="R142" s="9">
        <f t="shared" si="24"/>
        <v>0</v>
      </c>
      <c r="S142" s="5"/>
      <c r="T142" s="52"/>
      <c r="U142" s="52"/>
      <c r="V142" s="52"/>
      <c r="W142" s="52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</row>
    <row r="143" spans="1:36" ht="15.75" hidden="1" thickTop="1" x14ac:dyDescent="0.25">
      <c r="C143" s="3">
        <f>+C142-E142</f>
        <v>31812341.709999986</v>
      </c>
      <c r="F143" s="8"/>
    </row>
    <row r="144" spans="1:36" ht="15.75" hidden="1" thickTop="1" x14ac:dyDescent="0.25">
      <c r="C144" s="53">
        <f>+C143/E142</f>
        <v>0.48561384631683235</v>
      </c>
      <c r="F144" s="8"/>
    </row>
    <row r="145" spans="1:36" ht="15.75" thickTop="1" x14ac:dyDescent="0.25">
      <c r="A145" s="31" t="s">
        <v>1914</v>
      </c>
      <c r="B145" s="32"/>
      <c r="C145" s="33" t="s">
        <v>28</v>
      </c>
      <c r="D145" s="32"/>
      <c r="E145" s="33"/>
      <c r="F145" s="105"/>
      <c r="G145" s="33" t="s">
        <v>7</v>
      </c>
      <c r="H145" s="33"/>
      <c r="I145" s="33"/>
      <c r="J145" s="33"/>
      <c r="K145" s="33" t="s">
        <v>7</v>
      </c>
      <c r="L145" s="33"/>
      <c r="M145" s="33"/>
      <c r="N145" s="33"/>
      <c r="O145" s="33"/>
      <c r="P145" s="33"/>
      <c r="Q145" s="33"/>
      <c r="R145" s="33"/>
    </row>
    <row r="146" spans="1:36" x14ac:dyDescent="0.25">
      <c r="A146" s="2"/>
      <c r="F146" s="8"/>
      <c r="G146" s="3" t="s">
        <v>7</v>
      </c>
      <c r="K146" s="3" t="s">
        <v>7</v>
      </c>
      <c r="O146" s="53"/>
    </row>
    <row r="147" spans="1:36" x14ac:dyDescent="0.25">
      <c r="A147" s="4" t="s">
        <v>291</v>
      </c>
      <c r="C147" s="5" t="s">
        <v>2428</v>
      </c>
      <c r="D147" s="6"/>
      <c r="E147" s="216" t="s">
        <v>1870</v>
      </c>
      <c r="F147" s="8"/>
      <c r="G147" s="36" t="s">
        <v>1871</v>
      </c>
      <c r="H147" s="36" t="s">
        <v>1872</v>
      </c>
      <c r="I147" s="36" t="s">
        <v>1873</v>
      </c>
      <c r="J147" s="36" t="s">
        <v>1874</v>
      </c>
      <c r="K147" s="36" t="s">
        <v>1875</v>
      </c>
      <c r="L147" s="36" t="s">
        <v>1876</v>
      </c>
      <c r="M147" s="36" t="s">
        <v>1877</v>
      </c>
      <c r="N147" s="36" t="s">
        <v>1878</v>
      </c>
      <c r="O147" s="36" t="s">
        <v>1879</v>
      </c>
      <c r="P147" s="36" t="s">
        <v>1880</v>
      </c>
      <c r="Q147" s="36" t="s">
        <v>1881</v>
      </c>
      <c r="R147" s="36" t="s">
        <v>1882</v>
      </c>
    </row>
    <row r="148" spans="1:36" x14ac:dyDescent="0.25">
      <c r="A148" s="7" t="s">
        <v>1915</v>
      </c>
      <c r="C148" s="3">
        <f>SUM(G148:R148)</f>
        <v>21844319.149999999</v>
      </c>
      <c r="E148" s="127">
        <v>21844319.149999999</v>
      </c>
      <c r="F148" s="8"/>
      <c r="G148" s="3">
        <v>21844319.149999999</v>
      </c>
      <c r="Y148" s="166"/>
    </row>
    <row r="149" spans="1:36" s="6" customFormat="1" ht="15.75" thickBot="1" x14ac:dyDescent="0.3">
      <c r="A149" s="2" t="s">
        <v>1916</v>
      </c>
      <c r="C149" s="9">
        <f>SUM(C148)</f>
        <v>21844319.149999999</v>
      </c>
      <c r="E149" s="9">
        <f>SUM(E148)</f>
        <v>21844319.149999999</v>
      </c>
      <c r="F149" s="10"/>
      <c r="G149" s="9">
        <f>SUM(G148)</f>
        <v>21844319.149999999</v>
      </c>
      <c r="H149" s="9">
        <f t="shared" ref="H149:K149" si="25">SUM(H148)</f>
        <v>0</v>
      </c>
      <c r="I149" s="9">
        <f t="shared" si="25"/>
        <v>0</v>
      </c>
      <c r="J149" s="9">
        <f t="shared" si="25"/>
        <v>0</v>
      </c>
      <c r="K149" s="9">
        <f t="shared" si="25"/>
        <v>0</v>
      </c>
      <c r="L149" s="9">
        <f>SUM(L148)</f>
        <v>0</v>
      </c>
      <c r="M149" s="9">
        <f>SUM(M148)</f>
        <v>0</v>
      </c>
      <c r="N149" s="9">
        <f>SUM(N148)</f>
        <v>0</v>
      </c>
      <c r="O149" s="9">
        <f t="shared" ref="O149:R149" si="26">SUM(O148)</f>
        <v>0</v>
      </c>
      <c r="P149" s="9">
        <f t="shared" si="26"/>
        <v>0</v>
      </c>
      <c r="Q149" s="9">
        <f t="shared" si="26"/>
        <v>0</v>
      </c>
      <c r="R149" s="9">
        <f t="shared" si="26"/>
        <v>0</v>
      </c>
      <c r="S149" s="5"/>
      <c r="T149" s="52"/>
      <c r="U149" s="52"/>
      <c r="V149" s="52"/>
      <c r="W149" s="52"/>
      <c r="X149" s="35"/>
      <c r="Y149" s="166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</row>
    <row r="150" spans="1:36" ht="15.75" hidden="1" thickTop="1" x14ac:dyDescent="0.25">
      <c r="C150" s="3">
        <f>+C149-E149</f>
        <v>0</v>
      </c>
      <c r="F150" s="8"/>
    </row>
    <row r="151" spans="1:36" ht="15.75" hidden="1" thickTop="1" x14ac:dyDescent="0.25">
      <c r="C151" s="53">
        <f>+C150/E149</f>
        <v>0</v>
      </c>
      <c r="F151" s="8"/>
    </row>
    <row r="152" spans="1:36" ht="15.75" thickTop="1" x14ac:dyDescent="0.25">
      <c r="A152" s="31" t="s">
        <v>1917</v>
      </c>
      <c r="B152" s="32"/>
      <c r="C152" s="33"/>
      <c r="D152" s="32"/>
      <c r="E152" s="33"/>
      <c r="F152" s="105"/>
      <c r="G152" s="33"/>
      <c r="H152" s="33"/>
      <c r="I152" s="33"/>
      <c r="J152" s="33"/>
      <c r="K152" s="33" t="s">
        <v>7</v>
      </c>
      <c r="L152" s="33"/>
      <c r="M152" s="33"/>
      <c r="N152" s="33"/>
      <c r="O152" s="33"/>
      <c r="P152" s="33"/>
      <c r="Q152" s="33"/>
      <c r="R152" s="33"/>
      <c r="Y152" s="85"/>
      <c r="AB152" s="53"/>
    </row>
    <row r="153" spans="1:36" x14ac:dyDescent="0.25">
      <c r="A153" s="2"/>
      <c r="C153" s="2"/>
      <c r="F153" s="8"/>
    </row>
    <row r="154" spans="1:36" x14ac:dyDescent="0.25">
      <c r="A154" s="4" t="s">
        <v>291</v>
      </c>
      <c r="C154" s="5" t="s">
        <v>2428</v>
      </c>
      <c r="D154" s="6"/>
      <c r="E154" s="5" t="s">
        <v>1870</v>
      </c>
      <c r="F154" s="8"/>
      <c r="G154" s="36" t="s">
        <v>1871</v>
      </c>
      <c r="H154" s="36" t="s">
        <v>1872</v>
      </c>
      <c r="I154" s="36" t="s">
        <v>1873</v>
      </c>
      <c r="J154" s="36" t="s">
        <v>1874</v>
      </c>
      <c r="K154" s="36" t="s">
        <v>1875</v>
      </c>
      <c r="L154" s="36" t="s">
        <v>1876</v>
      </c>
      <c r="M154" s="36" t="s">
        <v>1877</v>
      </c>
      <c r="N154" s="36" t="s">
        <v>1878</v>
      </c>
      <c r="O154" s="36" t="s">
        <v>1879</v>
      </c>
      <c r="P154" s="36" t="s">
        <v>1880</v>
      </c>
      <c r="Q154" s="36" t="s">
        <v>1881</v>
      </c>
      <c r="R154" s="36" t="s">
        <v>1882</v>
      </c>
      <c r="Y154" s="166"/>
    </row>
    <row r="155" spans="1:36" ht="30" x14ac:dyDescent="0.25">
      <c r="A155" s="7" t="s">
        <v>1918</v>
      </c>
      <c r="C155" s="3">
        <f>C169</f>
        <v>25819481.620000001</v>
      </c>
      <c r="E155" s="3">
        <f>25683910.61-310154.6</f>
        <v>25373756.009999998</v>
      </c>
      <c r="F155" s="8"/>
      <c r="G155" s="3">
        <f>G169</f>
        <v>25819481.620000001</v>
      </c>
      <c r="H155" s="3">
        <f>+H169</f>
        <v>0</v>
      </c>
      <c r="I155" s="3">
        <f>+I169</f>
        <v>0</v>
      </c>
      <c r="J155" s="3">
        <f>+J169</f>
        <v>0</v>
      </c>
      <c r="K155" s="3">
        <f t="shared" ref="K155:M155" si="27">+K169</f>
        <v>0</v>
      </c>
      <c r="L155" s="3">
        <f t="shared" si="27"/>
        <v>0</v>
      </c>
      <c r="M155" s="3">
        <f t="shared" si="27"/>
        <v>0</v>
      </c>
      <c r="N155" s="3">
        <f t="shared" ref="N155" si="28">+N169</f>
        <v>0</v>
      </c>
      <c r="O155" s="3">
        <f>+O169</f>
        <v>0</v>
      </c>
      <c r="P155" s="3">
        <f>+P169</f>
        <v>0</v>
      </c>
      <c r="Q155" s="3">
        <f>+Q169</f>
        <v>0</v>
      </c>
      <c r="R155" s="3">
        <f>+R169</f>
        <v>0</v>
      </c>
      <c r="S155" s="50" t="s">
        <v>1919</v>
      </c>
      <c r="T155" s="51" t="s">
        <v>1920</v>
      </c>
      <c r="U155" s="51" t="s">
        <v>1920</v>
      </c>
      <c r="V155" s="51" t="s">
        <v>1919</v>
      </c>
      <c r="W155" s="51" t="s">
        <v>1921</v>
      </c>
    </row>
    <row r="156" spans="1:36" x14ac:dyDescent="0.25">
      <c r="A156" s="7" t="s">
        <v>1922</v>
      </c>
      <c r="C156" s="3">
        <f>G156</f>
        <v>34831.550000000003</v>
      </c>
      <c r="E156" s="3">
        <v>0</v>
      </c>
      <c r="F156" s="8"/>
      <c r="G156" s="3">
        <v>34831.550000000003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S156" s="50">
        <v>2</v>
      </c>
      <c r="T156" s="51">
        <v>1</v>
      </c>
      <c r="U156" s="51">
        <v>1</v>
      </c>
      <c r="V156" s="51">
        <v>4</v>
      </c>
      <c r="W156" s="51" t="s">
        <v>1923</v>
      </c>
      <c r="Y156" s="166"/>
    </row>
    <row r="157" spans="1:36" x14ac:dyDescent="0.25">
      <c r="A157" s="7" t="s">
        <v>397</v>
      </c>
      <c r="C157" s="3">
        <f>C178</f>
        <v>0</v>
      </c>
      <c r="E157" s="3">
        <v>0</v>
      </c>
      <c r="F157" s="8"/>
      <c r="G157" s="3">
        <f>G178</f>
        <v>0</v>
      </c>
      <c r="H157" s="3">
        <f t="shared" ref="H157:L157" si="29">+H178</f>
        <v>0</v>
      </c>
      <c r="I157" s="3">
        <f t="shared" si="29"/>
        <v>0</v>
      </c>
      <c r="J157" s="3">
        <f t="shared" si="29"/>
        <v>0</v>
      </c>
      <c r="K157" s="3">
        <f t="shared" si="29"/>
        <v>0</v>
      </c>
      <c r="L157" s="3">
        <f t="shared" si="29"/>
        <v>0</v>
      </c>
      <c r="M157" s="3">
        <f t="shared" ref="M157" si="30">+M178</f>
        <v>0</v>
      </c>
      <c r="N157" s="3">
        <f>+N178</f>
        <v>0</v>
      </c>
      <c r="O157" s="3">
        <f>O178</f>
        <v>0</v>
      </c>
      <c r="P157" s="3">
        <v>0</v>
      </c>
      <c r="Q157" s="3">
        <f>Q178</f>
        <v>0</v>
      </c>
      <c r="R157" s="3">
        <f>R178</f>
        <v>0</v>
      </c>
      <c r="Y157" s="166"/>
    </row>
    <row r="158" spans="1:36" x14ac:dyDescent="0.25">
      <c r="A158" s="7" t="s">
        <v>398</v>
      </c>
      <c r="C158" s="3">
        <f>C189</f>
        <v>10634970.859999999</v>
      </c>
      <c r="E158" s="3">
        <v>613082.1</v>
      </c>
      <c r="F158" s="8"/>
      <c r="G158" s="3">
        <f>G189</f>
        <v>10634970.859999999</v>
      </c>
      <c r="H158" s="3">
        <f t="shared" ref="H158:O158" si="31">+H189</f>
        <v>0</v>
      </c>
      <c r="I158" s="3">
        <f t="shared" si="31"/>
        <v>0</v>
      </c>
      <c r="J158" s="3">
        <f t="shared" si="31"/>
        <v>0</v>
      </c>
      <c r="K158" s="3">
        <f t="shared" si="31"/>
        <v>0</v>
      </c>
      <c r="L158" s="3">
        <f t="shared" si="31"/>
        <v>0</v>
      </c>
      <c r="M158" s="3">
        <f t="shared" si="31"/>
        <v>0</v>
      </c>
      <c r="N158" s="3">
        <f t="shared" si="31"/>
        <v>0</v>
      </c>
      <c r="O158" s="3">
        <f t="shared" si="31"/>
        <v>0</v>
      </c>
      <c r="P158" s="3">
        <f>P189</f>
        <v>0</v>
      </c>
      <c r="Q158" s="3">
        <f>+Q189</f>
        <v>0</v>
      </c>
      <c r="R158" s="3">
        <f>+R189</f>
        <v>0</v>
      </c>
      <c r="Y158" s="166"/>
    </row>
    <row r="159" spans="1:36" x14ac:dyDescent="0.25">
      <c r="A159" s="7" t="s">
        <v>399</v>
      </c>
      <c r="C159" s="3">
        <v>0</v>
      </c>
      <c r="E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S159" s="50">
        <v>2</v>
      </c>
      <c r="T159" s="51">
        <v>1</v>
      </c>
      <c r="U159" s="51">
        <v>4</v>
      </c>
      <c r="V159" s="51">
        <v>2</v>
      </c>
      <c r="W159" s="51" t="s">
        <v>1924</v>
      </c>
      <c r="Y159" s="166"/>
    </row>
    <row r="160" spans="1:36" ht="30" x14ac:dyDescent="0.25">
      <c r="A160" s="7" t="s">
        <v>400</v>
      </c>
      <c r="C160" s="3">
        <f>C197</f>
        <v>3883874.8999999994</v>
      </c>
      <c r="D160" s="1" t="s">
        <v>1925</v>
      </c>
      <c r="E160" s="127">
        <v>3845274.96</v>
      </c>
      <c r="G160" s="3">
        <f>G197</f>
        <v>3883874.8999999994</v>
      </c>
      <c r="H160" s="3">
        <f t="shared" ref="H160:M160" si="32">+H197</f>
        <v>0</v>
      </c>
      <c r="I160" s="3">
        <f t="shared" si="32"/>
        <v>0</v>
      </c>
      <c r="J160" s="3">
        <f t="shared" si="32"/>
        <v>0</v>
      </c>
      <c r="K160" s="3">
        <f t="shared" si="32"/>
        <v>0</v>
      </c>
      <c r="L160" s="3">
        <f t="shared" si="32"/>
        <v>0</v>
      </c>
      <c r="M160" s="3">
        <f t="shared" si="32"/>
        <v>0</v>
      </c>
      <c r="N160" s="3">
        <f>+N197</f>
        <v>0</v>
      </c>
      <c r="O160" s="3">
        <f>O197</f>
        <v>0</v>
      </c>
      <c r="P160" s="3">
        <f>+P197</f>
        <v>0</v>
      </c>
      <c r="Q160" s="3">
        <f>+Q197</f>
        <v>0</v>
      </c>
      <c r="R160" s="3">
        <f>+R197</f>
        <v>0</v>
      </c>
      <c r="Y160" s="3"/>
    </row>
    <row r="161" spans="1:36" s="6" customFormat="1" ht="15.75" thickBot="1" x14ac:dyDescent="0.3">
      <c r="A161" s="12" t="s">
        <v>1926</v>
      </c>
      <c r="C161" s="9">
        <f>SUM(C155:C160)</f>
        <v>40373158.93</v>
      </c>
      <c r="D161" s="6" t="s">
        <v>7</v>
      </c>
      <c r="E161" s="163">
        <f>SUM(E155:E160)</f>
        <v>29832113.07</v>
      </c>
      <c r="G161" s="9">
        <f>SUM(G155:G160)</f>
        <v>40373158.93</v>
      </c>
      <c r="H161" s="9">
        <f t="shared" ref="H161:R161" si="33">SUM(H155:H160)</f>
        <v>0</v>
      </c>
      <c r="I161" s="9">
        <f t="shared" si="33"/>
        <v>0</v>
      </c>
      <c r="J161" s="9">
        <f t="shared" si="33"/>
        <v>0</v>
      </c>
      <c r="K161" s="9">
        <f t="shared" si="33"/>
        <v>0</v>
      </c>
      <c r="L161" s="9">
        <f t="shared" si="33"/>
        <v>0</v>
      </c>
      <c r="M161" s="9">
        <f t="shared" si="33"/>
        <v>0</v>
      </c>
      <c r="N161" s="9">
        <f t="shared" si="33"/>
        <v>0</v>
      </c>
      <c r="O161" s="9">
        <f t="shared" si="33"/>
        <v>0</v>
      </c>
      <c r="P161" s="9">
        <f t="shared" si="33"/>
        <v>0</v>
      </c>
      <c r="Q161" s="9">
        <f t="shared" si="33"/>
        <v>0</v>
      </c>
      <c r="R161" s="9">
        <f t="shared" si="33"/>
        <v>0</v>
      </c>
      <c r="S161" s="5"/>
      <c r="T161" s="52"/>
      <c r="U161" s="52"/>
      <c r="V161" s="52"/>
      <c r="W161" s="52"/>
      <c r="X161" s="35"/>
      <c r="Y161" s="168"/>
      <c r="Z161" s="35"/>
      <c r="AA161" s="35"/>
      <c r="AB161" s="170"/>
      <c r="AC161" s="35"/>
      <c r="AD161" s="35"/>
      <c r="AE161" s="35"/>
      <c r="AF161" s="35"/>
      <c r="AG161" s="35"/>
      <c r="AH161" s="35"/>
      <c r="AI161" s="35"/>
      <c r="AJ161" s="35"/>
    </row>
    <row r="162" spans="1:36" ht="15.75" hidden="1" thickTop="1" x14ac:dyDescent="0.25">
      <c r="C162" s="3">
        <f>+C161-E161</f>
        <v>10541045.859999999</v>
      </c>
    </row>
    <row r="163" spans="1:36" ht="15.75" hidden="1" thickTop="1" x14ac:dyDescent="0.25">
      <c r="C163" s="53">
        <f>+C162/E161</f>
        <v>0.35334559892776646</v>
      </c>
    </row>
    <row r="164" spans="1:36" ht="15.75" thickTop="1" x14ac:dyDescent="0.25">
      <c r="A164" s="31" t="s">
        <v>1927</v>
      </c>
      <c r="B164" s="32"/>
      <c r="C164" s="33"/>
      <c r="D164" s="32"/>
      <c r="E164" s="33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Y164" s="85"/>
    </row>
    <row r="165" spans="1:36" x14ac:dyDescent="0.25">
      <c r="A165" s="2"/>
      <c r="B165" s="1" t="s">
        <v>28</v>
      </c>
      <c r="C165" s="3" t="s">
        <v>7</v>
      </c>
      <c r="O165" s="3" t="s">
        <v>7</v>
      </c>
      <c r="P165" s="3" t="s">
        <v>7</v>
      </c>
    </row>
    <row r="166" spans="1:36" x14ac:dyDescent="0.25">
      <c r="A166" s="4" t="s">
        <v>291</v>
      </c>
      <c r="C166" s="5" t="s">
        <v>2428</v>
      </c>
      <c r="D166" s="6"/>
      <c r="E166" s="5" t="s">
        <v>1870</v>
      </c>
      <c r="G166" s="36" t="s">
        <v>1871</v>
      </c>
      <c r="H166" s="36" t="s">
        <v>1872</v>
      </c>
      <c r="I166" s="36" t="s">
        <v>1873</v>
      </c>
      <c r="J166" s="36" t="s">
        <v>1874</v>
      </c>
      <c r="K166" s="36" t="s">
        <v>1875</v>
      </c>
      <c r="L166" s="36" t="s">
        <v>1876</v>
      </c>
      <c r="M166" s="36" t="s">
        <v>1877</v>
      </c>
      <c r="N166" s="36" t="s">
        <v>1878</v>
      </c>
      <c r="O166" s="36" t="s">
        <v>1879</v>
      </c>
      <c r="P166" s="36" t="s">
        <v>1880</v>
      </c>
      <c r="Q166" s="36" t="s">
        <v>1881</v>
      </c>
      <c r="R166" s="36" t="s">
        <v>1882</v>
      </c>
    </row>
    <row r="167" spans="1:36" ht="30" x14ac:dyDescent="0.25">
      <c r="A167" s="7" t="s">
        <v>1928</v>
      </c>
      <c r="C167" s="3">
        <f>SUM(G167:R167)</f>
        <v>25819481.620000001</v>
      </c>
      <c r="E167" s="3">
        <v>25683910.609999999</v>
      </c>
      <c r="G167" s="3">
        <v>25819481.620000001</v>
      </c>
      <c r="O167" s="257"/>
      <c r="S167" s="50">
        <v>2</v>
      </c>
      <c r="T167" s="51">
        <v>1</v>
      </c>
      <c r="U167" s="51">
        <v>1</v>
      </c>
      <c r="V167" s="51">
        <v>2</v>
      </c>
      <c r="W167" s="51" t="s">
        <v>1921</v>
      </c>
    </row>
    <row r="168" spans="1:36" x14ac:dyDescent="0.25">
      <c r="A168" s="7" t="s">
        <v>404</v>
      </c>
      <c r="C168" s="3">
        <f>SUM(G168:R168)</f>
        <v>0</v>
      </c>
      <c r="S168" s="50">
        <v>2</v>
      </c>
      <c r="T168" s="51">
        <v>1</v>
      </c>
      <c r="U168" s="51">
        <v>1</v>
      </c>
      <c r="V168" s="51">
        <v>2</v>
      </c>
      <c r="W168" s="51" t="s">
        <v>1929</v>
      </c>
    </row>
    <row r="169" spans="1:36" s="6" customFormat="1" ht="30.75" thickBot="1" x14ac:dyDescent="0.3">
      <c r="A169" s="2" t="s">
        <v>1930</v>
      </c>
      <c r="C169" s="9">
        <f>SUM(C167:C168)</f>
        <v>25819481.620000001</v>
      </c>
      <c r="E169" s="9">
        <f>SUM(E167:E168)</f>
        <v>25683910.609999999</v>
      </c>
      <c r="G169" s="9">
        <f>SUM(G167:G168)</f>
        <v>25819481.620000001</v>
      </c>
      <c r="H169" s="9">
        <f t="shared" ref="H169:R169" si="34">SUM(H167:H168)</f>
        <v>0</v>
      </c>
      <c r="I169" s="9">
        <f t="shared" si="34"/>
        <v>0</v>
      </c>
      <c r="J169" s="9">
        <f t="shared" si="34"/>
        <v>0</v>
      </c>
      <c r="K169" s="9">
        <f t="shared" si="34"/>
        <v>0</v>
      </c>
      <c r="L169" s="9">
        <f t="shared" si="34"/>
        <v>0</v>
      </c>
      <c r="M169" s="9">
        <f t="shared" si="34"/>
        <v>0</v>
      </c>
      <c r="N169" s="9">
        <f t="shared" si="34"/>
        <v>0</v>
      </c>
      <c r="O169" s="9">
        <f t="shared" si="34"/>
        <v>0</v>
      </c>
      <c r="P169" s="9">
        <f t="shared" si="34"/>
        <v>0</v>
      </c>
      <c r="Q169" s="9">
        <f t="shared" si="34"/>
        <v>0</v>
      </c>
      <c r="R169" s="9">
        <f t="shared" si="34"/>
        <v>0</v>
      </c>
      <c r="S169" s="5"/>
      <c r="T169" s="52"/>
      <c r="U169" s="52"/>
      <c r="V169" s="52"/>
      <c r="W169" s="52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</row>
    <row r="170" spans="1:36" ht="16.5" customHeight="1" thickTop="1" x14ac:dyDescent="0.25"/>
    <row r="171" spans="1:36" ht="17.25" customHeight="1" x14ac:dyDescent="0.25">
      <c r="C171" s="53"/>
    </row>
    <row r="172" spans="1:36" x14ac:dyDescent="0.25">
      <c r="A172" s="31" t="s">
        <v>1931</v>
      </c>
      <c r="B172" s="32"/>
      <c r="C172" s="33"/>
      <c r="D172" s="32"/>
      <c r="E172" s="33"/>
      <c r="F172" s="32"/>
      <c r="G172" s="33"/>
      <c r="H172" s="33"/>
      <c r="I172" s="33"/>
      <c r="J172" s="33"/>
      <c r="K172" s="33"/>
      <c r="L172" s="33"/>
      <c r="M172" s="33"/>
      <c r="N172" s="33" t="s">
        <v>7</v>
      </c>
      <c r="O172" s="33"/>
      <c r="P172" s="33"/>
      <c r="Q172" s="33"/>
      <c r="R172" s="33"/>
    </row>
    <row r="173" spans="1:36" x14ac:dyDescent="0.25">
      <c r="A173" s="2"/>
    </row>
    <row r="174" spans="1:36" x14ac:dyDescent="0.25">
      <c r="A174" s="4" t="s">
        <v>291</v>
      </c>
      <c r="C174" s="5" t="s">
        <v>2428</v>
      </c>
      <c r="D174" s="6"/>
      <c r="E174" s="5" t="s">
        <v>1870</v>
      </c>
      <c r="G174" s="36" t="s">
        <v>1871</v>
      </c>
      <c r="H174" s="36" t="s">
        <v>1872</v>
      </c>
      <c r="I174" s="36" t="s">
        <v>1873</v>
      </c>
      <c r="J174" s="36" t="s">
        <v>1874</v>
      </c>
      <c r="K174" s="36" t="s">
        <v>1875</v>
      </c>
      <c r="L174" s="36" t="s">
        <v>1876</v>
      </c>
      <c r="M174" s="36" t="s">
        <v>1877</v>
      </c>
      <c r="N174" s="36" t="s">
        <v>1878</v>
      </c>
      <c r="O174" s="36" t="s">
        <v>1879</v>
      </c>
      <c r="P174" s="36" t="s">
        <v>1880</v>
      </c>
      <c r="Q174" s="36" t="s">
        <v>1881</v>
      </c>
      <c r="R174" s="36" t="s">
        <v>1882</v>
      </c>
    </row>
    <row r="175" spans="1:36" x14ac:dyDescent="0.25">
      <c r="A175" s="86" t="s">
        <v>1932</v>
      </c>
      <c r="C175" s="47">
        <f>SUM(G175:R175)</f>
        <v>0</v>
      </c>
      <c r="D175" s="6"/>
      <c r="E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50" t="s">
        <v>1919</v>
      </c>
      <c r="T175" s="51" t="s">
        <v>1920</v>
      </c>
      <c r="U175" s="51" t="s">
        <v>1920</v>
      </c>
      <c r="V175" s="51" t="s">
        <v>1933</v>
      </c>
      <c r="W175" s="51" t="s">
        <v>1923</v>
      </c>
    </row>
    <row r="176" spans="1:36" x14ac:dyDescent="0.25">
      <c r="A176" s="7" t="s">
        <v>1934</v>
      </c>
      <c r="C176" s="47">
        <f t="shared" ref="C176:C177" si="35">SUM(G176:R176)</f>
        <v>0</v>
      </c>
      <c r="E176" s="36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50">
        <v>2</v>
      </c>
      <c r="T176" s="51">
        <v>1</v>
      </c>
      <c r="U176" s="51">
        <v>1</v>
      </c>
      <c r="V176" s="51">
        <v>5</v>
      </c>
      <c r="W176" s="51" t="s">
        <v>1929</v>
      </c>
    </row>
    <row r="177" spans="1:36" s="6" customFormat="1" ht="30" x14ac:dyDescent="0.25">
      <c r="A177" s="7" t="s">
        <v>1935</v>
      </c>
      <c r="B177" s="1"/>
      <c r="C177" s="47">
        <f t="shared" si="35"/>
        <v>0</v>
      </c>
      <c r="D177" s="1"/>
      <c r="E177" s="36"/>
      <c r="F177" s="1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50">
        <v>2</v>
      </c>
      <c r="T177" s="51">
        <v>1</v>
      </c>
      <c r="U177" s="51">
        <v>1</v>
      </c>
      <c r="V177" s="51">
        <v>5</v>
      </c>
      <c r="W177" s="51" t="s">
        <v>1936</v>
      </c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</row>
    <row r="178" spans="1:36" ht="15.75" thickBot="1" x14ac:dyDescent="0.3">
      <c r="A178" s="2" t="s">
        <v>1937</v>
      </c>
      <c r="B178" s="6"/>
      <c r="C178" s="9">
        <f>SUM(C175:C177)</f>
        <v>0</v>
      </c>
      <c r="D178" s="6"/>
      <c r="E178" s="9">
        <f>SUM(E175:E177)</f>
        <v>0</v>
      </c>
      <c r="F178" s="6"/>
      <c r="G178" s="102">
        <f>SUM(G175:G177)</f>
        <v>0</v>
      </c>
      <c r="H178" s="102">
        <f t="shared" ref="H178:R178" si="36">SUM(H175:H177)</f>
        <v>0</v>
      </c>
      <c r="I178" s="102">
        <f t="shared" si="36"/>
        <v>0</v>
      </c>
      <c r="J178" s="102">
        <f t="shared" si="36"/>
        <v>0</v>
      </c>
      <c r="K178" s="102">
        <f t="shared" si="36"/>
        <v>0</v>
      </c>
      <c r="L178" s="102">
        <f t="shared" si="36"/>
        <v>0</v>
      </c>
      <c r="M178" s="102">
        <f t="shared" si="36"/>
        <v>0</v>
      </c>
      <c r="N178" s="102">
        <f t="shared" si="36"/>
        <v>0</v>
      </c>
      <c r="O178" s="102">
        <f t="shared" si="36"/>
        <v>0</v>
      </c>
      <c r="P178" s="49">
        <f t="shared" si="36"/>
        <v>0</v>
      </c>
      <c r="Q178" s="102">
        <f t="shared" si="36"/>
        <v>0</v>
      </c>
      <c r="R178" s="102">
        <f t="shared" si="36"/>
        <v>0</v>
      </c>
      <c r="S178" s="5"/>
      <c r="T178" s="52"/>
      <c r="U178" s="52"/>
      <c r="V178" s="52"/>
      <c r="W178" s="52"/>
    </row>
    <row r="179" spans="1:36" ht="15.75" thickTop="1" x14ac:dyDescent="0.25">
      <c r="C179" s="3">
        <f>+C178-E178</f>
        <v>0</v>
      </c>
    </row>
    <row r="180" spans="1:36" x14ac:dyDescent="0.25">
      <c r="C180" s="53"/>
    </row>
    <row r="181" spans="1:36" x14ac:dyDescent="0.25">
      <c r="A181" s="31" t="s">
        <v>1938</v>
      </c>
      <c r="B181" s="32"/>
      <c r="C181" s="33"/>
      <c r="D181" s="32"/>
      <c r="E181" s="33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2" spans="1:36" x14ac:dyDescent="0.25">
      <c r="A182" s="2"/>
    </row>
    <row r="183" spans="1:36" x14ac:dyDescent="0.25">
      <c r="A183" s="4" t="s">
        <v>291</v>
      </c>
      <c r="C183" s="5" t="s">
        <v>2428</v>
      </c>
      <c r="D183" s="6"/>
      <c r="E183" s="5" t="s">
        <v>1870</v>
      </c>
      <c r="G183" s="36" t="s">
        <v>1871</v>
      </c>
      <c r="H183" s="36" t="s">
        <v>1872</v>
      </c>
      <c r="I183" s="36" t="s">
        <v>1873</v>
      </c>
      <c r="J183" s="36" t="s">
        <v>1874</v>
      </c>
      <c r="K183" s="36" t="s">
        <v>1875</v>
      </c>
      <c r="L183" s="36" t="s">
        <v>1876</v>
      </c>
      <c r="M183" s="36" t="s">
        <v>1877</v>
      </c>
      <c r="N183" s="36" t="s">
        <v>1878</v>
      </c>
      <c r="O183" s="36" t="s">
        <v>1879</v>
      </c>
      <c r="P183" s="36" t="s">
        <v>1880</v>
      </c>
      <c r="Q183" s="36" t="s">
        <v>1881</v>
      </c>
      <c r="R183" s="36" t="s">
        <v>1882</v>
      </c>
    </row>
    <row r="184" spans="1:36" ht="30" x14ac:dyDescent="0.25">
      <c r="A184" s="7" t="s">
        <v>412</v>
      </c>
      <c r="C184" s="3">
        <f>SUM(G184:R184)</f>
        <v>0</v>
      </c>
      <c r="E184" s="3">
        <v>0</v>
      </c>
      <c r="S184" s="50">
        <v>2</v>
      </c>
      <c r="T184" s="51">
        <v>1</v>
      </c>
      <c r="U184" s="51">
        <v>2</v>
      </c>
      <c r="V184" s="51">
        <v>2</v>
      </c>
      <c r="W184" s="51" t="s">
        <v>1924</v>
      </c>
    </row>
    <row r="185" spans="1:36" x14ac:dyDescent="0.25">
      <c r="A185" s="7" t="s">
        <v>413</v>
      </c>
      <c r="C185" s="3">
        <f t="shared" ref="C185:C188" si="37">SUM(G185:R185)</f>
        <v>419618</v>
      </c>
      <c r="E185" s="3">
        <v>409618</v>
      </c>
      <c r="G185" s="3">
        <v>419618</v>
      </c>
      <c r="S185" s="50">
        <v>2</v>
      </c>
      <c r="T185" s="51">
        <v>1</v>
      </c>
      <c r="U185" s="51">
        <v>2</v>
      </c>
      <c r="V185" s="51">
        <v>2</v>
      </c>
      <c r="W185" s="51" t="s">
        <v>1939</v>
      </c>
    </row>
    <row r="186" spans="1:36" s="6" customFormat="1" x14ac:dyDescent="0.25">
      <c r="A186" s="7" t="s">
        <v>414</v>
      </c>
      <c r="B186" s="1"/>
      <c r="C186" s="3">
        <f t="shared" si="37"/>
        <v>10215352.859999999</v>
      </c>
      <c r="D186" s="1"/>
      <c r="E186" s="3">
        <v>137051.1</v>
      </c>
      <c r="F186" s="1"/>
      <c r="G186" s="3">
        <v>10215352.859999999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50">
        <v>2</v>
      </c>
      <c r="T186" s="51">
        <v>1</v>
      </c>
      <c r="U186" s="51">
        <v>2</v>
      </c>
      <c r="V186" s="51">
        <v>2</v>
      </c>
      <c r="W186" s="51" t="s">
        <v>1940</v>
      </c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:36" x14ac:dyDescent="0.25">
      <c r="A187" s="7" t="s">
        <v>415</v>
      </c>
      <c r="C187" s="3">
        <f t="shared" si="37"/>
        <v>0</v>
      </c>
      <c r="E187" s="3">
        <v>66413</v>
      </c>
      <c r="G187" s="3">
        <v>0</v>
      </c>
      <c r="S187" s="50">
        <v>2</v>
      </c>
      <c r="T187" s="51">
        <v>1</v>
      </c>
      <c r="U187" s="51">
        <v>2</v>
      </c>
      <c r="V187" s="51">
        <v>2</v>
      </c>
      <c r="W187" s="51" t="s">
        <v>1941</v>
      </c>
    </row>
    <row r="188" spans="1:36" x14ac:dyDescent="0.25">
      <c r="A188" s="7" t="s">
        <v>1942</v>
      </c>
      <c r="B188" s="6"/>
      <c r="C188" s="3">
        <f t="shared" si="37"/>
        <v>0</v>
      </c>
      <c r="D188" s="6"/>
      <c r="E188" s="3">
        <v>0</v>
      </c>
      <c r="F188" s="6"/>
      <c r="S188" s="151" t="s">
        <v>1919</v>
      </c>
      <c r="T188" s="51" t="s">
        <v>1920</v>
      </c>
      <c r="U188" s="51" t="s">
        <v>1919</v>
      </c>
      <c r="V188" s="51" t="s">
        <v>1919</v>
      </c>
      <c r="W188" s="51" t="s">
        <v>1943</v>
      </c>
    </row>
    <row r="189" spans="1:36" ht="15.75" thickBot="1" x14ac:dyDescent="0.3">
      <c r="A189" s="2" t="s">
        <v>417</v>
      </c>
      <c r="C189" s="9">
        <f>SUM(C184:C188)</f>
        <v>10634970.859999999</v>
      </c>
      <c r="E189" s="9">
        <f>SUM(E184:E188)</f>
        <v>613082.1</v>
      </c>
      <c r="G189" s="9">
        <f>SUM(G184:G188)</f>
        <v>10634970.859999999</v>
      </c>
      <c r="H189" s="9">
        <f t="shared" ref="H189:R189" si="38">SUM(H184:H188)</f>
        <v>0</v>
      </c>
      <c r="I189" s="9">
        <f t="shared" si="38"/>
        <v>0</v>
      </c>
      <c r="J189" s="9">
        <f t="shared" si="38"/>
        <v>0</v>
      </c>
      <c r="K189" s="9">
        <f t="shared" si="38"/>
        <v>0</v>
      </c>
      <c r="L189" s="9">
        <f t="shared" si="38"/>
        <v>0</v>
      </c>
      <c r="M189" s="9">
        <f t="shared" si="38"/>
        <v>0</v>
      </c>
      <c r="N189" s="9">
        <f t="shared" si="38"/>
        <v>0</v>
      </c>
      <c r="O189" s="9">
        <f t="shared" si="38"/>
        <v>0</v>
      </c>
      <c r="P189" s="9">
        <f t="shared" si="38"/>
        <v>0</v>
      </c>
      <c r="Q189" s="9">
        <f t="shared" si="38"/>
        <v>0</v>
      </c>
      <c r="R189" s="9">
        <f t="shared" si="38"/>
        <v>0</v>
      </c>
    </row>
    <row r="190" spans="1:36" ht="15.75" thickTop="1" x14ac:dyDescent="0.25">
      <c r="C190" s="53"/>
      <c r="Q190" s="128"/>
    </row>
    <row r="191" spans="1:36" x14ac:dyDescent="0.25">
      <c r="A191" s="31" t="s">
        <v>1944</v>
      </c>
      <c r="B191" s="32"/>
      <c r="C191" s="33"/>
      <c r="D191" s="32"/>
      <c r="E191" s="33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</row>
    <row r="192" spans="1:36" x14ac:dyDescent="0.25">
      <c r="A192" s="2"/>
    </row>
    <row r="193" spans="1:36" x14ac:dyDescent="0.25">
      <c r="A193" s="4" t="s">
        <v>291</v>
      </c>
      <c r="C193" s="5" t="s">
        <v>2428</v>
      </c>
      <c r="D193" s="6"/>
      <c r="E193" s="5" t="s">
        <v>1870</v>
      </c>
      <c r="G193" s="36" t="s">
        <v>1871</v>
      </c>
      <c r="H193" s="36" t="s">
        <v>1872</v>
      </c>
      <c r="I193" s="36" t="s">
        <v>1873</v>
      </c>
      <c r="J193" s="36" t="s">
        <v>1874</v>
      </c>
      <c r="K193" s="36" t="s">
        <v>1875</v>
      </c>
      <c r="L193" s="36" t="s">
        <v>1876</v>
      </c>
      <c r="M193" s="36" t="s">
        <v>1877</v>
      </c>
      <c r="N193" s="36" t="s">
        <v>1878</v>
      </c>
      <c r="O193" s="36" t="s">
        <v>1879</v>
      </c>
      <c r="P193" s="36" t="s">
        <v>1880</v>
      </c>
      <c r="Q193" s="36" t="s">
        <v>1881</v>
      </c>
      <c r="R193" s="36" t="s">
        <v>1882</v>
      </c>
    </row>
    <row r="194" spans="1:36" x14ac:dyDescent="0.25">
      <c r="A194" s="7" t="s">
        <v>419</v>
      </c>
      <c r="C194" s="3">
        <f>SUM(G194:R194)</f>
        <v>1790928.15</v>
      </c>
      <c r="E194" s="128">
        <f>'[6]NOTAS (2)'!G194</f>
        <v>1776812.59</v>
      </c>
      <c r="G194" s="3">
        <v>1790928.15</v>
      </c>
      <c r="S194" s="50">
        <v>2</v>
      </c>
      <c r="T194" s="51">
        <v>1</v>
      </c>
      <c r="U194" s="51">
        <v>5</v>
      </c>
      <c r="V194" s="51">
        <v>1</v>
      </c>
      <c r="W194" s="51" t="s">
        <v>1923</v>
      </c>
    </row>
    <row r="195" spans="1:36" s="6" customFormat="1" ht="30" x14ac:dyDescent="0.25">
      <c r="A195" s="7" t="s">
        <v>420</v>
      </c>
      <c r="B195" s="1"/>
      <c r="C195" s="3">
        <f>SUM(G195:R195)</f>
        <v>1793454.24</v>
      </c>
      <c r="D195" s="1"/>
      <c r="E195" s="128">
        <f>'[6]NOTAS (2)'!G195</f>
        <v>1779318.75</v>
      </c>
      <c r="F195" s="1"/>
      <c r="G195" s="3">
        <v>1793454.24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50">
        <v>2</v>
      </c>
      <c r="T195" s="51">
        <v>1</v>
      </c>
      <c r="U195" s="51">
        <v>5</v>
      </c>
      <c r="V195" s="51">
        <v>2</v>
      </c>
      <c r="W195" s="51" t="s">
        <v>1923</v>
      </c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</row>
    <row r="196" spans="1:36" ht="30" x14ac:dyDescent="0.25">
      <c r="A196" s="7" t="s">
        <v>421</v>
      </c>
      <c r="C196" s="3">
        <f t="shared" ref="C196" si="39">SUM(G196:R196)</f>
        <v>299492.51</v>
      </c>
      <c r="E196" s="128">
        <f>'[6]NOTAS (2)'!G196</f>
        <v>289143.62</v>
      </c>
      <c r="G196" s="3">
        <v>299492.51</v>
      </c>
      <c r="S196" s="50">
        <v>2</v>
      </c>
      <c r="T196" s="51">
        <v>1</v>
      </c>
      <c r="U196" s="51">
        <v>5</v>
      </c>
      <c r="V196" s="51">
        <v>3</v>
      </c>
      <c r="W196" s="51" t="s">
        <v>1923</v>
      </c>
    </row>
    <row r="197" spans="1:36" ht="15.75" thickBot="1" x14ac:dyDescent="0.3">
      <c r="A197" s="2"/>
      <c r="B197" s="6"/>
      <c r="C197" s="9">
        <f>SUM(C194:C196)</f>
        <v>3883874.8999999994</v>
      </c>
      <c r="D197" s="6"/>
      <c r="E197" s="9">
        <f>SUM(E194:E196)</f>
        <v>3845274.96</v>
      </c>
      <c r="F197" s="6"/>
      <c r="G197" s="9">
        <f t="shared" ref="G197:R197" si="40">SUM(G194:G196)</f>
        <v>3883874.8999999994</v>
      </c>
      <c r="H197" s="9">
        <f t="shared" si="40"/>
        <v>0</v>
      </c>
      <c r="I197" s="9">
        <f t="shared" si="40"/>
        <v>0</v>
      </c>
      <c r="J197" s="9">
        <f t="shared" si="40"/>
        <v>0</v>
      </c>
      <c r="K197" s="9">
        <f t="shared" si="40"/>
        <v>0</v>
      </c>
      <c r="L197" s="9">
        <f t="shared" si="40"/>
        <v>0</v>
      </c>
      <c r="M197" s="9">
        <f t="shared" si="40"/>
        <v>0</v>
      </c>
      <c r="N197" s="9">
        <f t="shared" si="40"/>
        <v>0</v>
      </c>
      <c r="O197" s="9">
        <f t="shared" si="40"/>
        <v>0</v>
      </c>
      <c r="P197" s="9">
        <f t="shared" si="40"/>
        <v>0</v>
      </c>
      <c r="Q197" s="9">
        <f t="shared" si="40"/>
        <v>0</v>
      </c>
      <c r="R197" s="9">
        <f t="shared" si="40"/>
        <v>0</v>
      </c>
      <c r="S197" s="5"/>
      <c r="T197" s="52"/>
      <c r="U197" s="52"/>
      <c r="V197" s="52"/>
      <c r="W197" s="52"/>
    </row>
    <row r="198" spans="1:36" ht="15.75" thickTop="1" x14ac:dyDescent="0.25"/>
    <row r="199" spans="1:36" x14ac:dyDescent="0.25">
      <c r="C199" s="53"/>
    </row>
    <row r="200" spans="1:36" x14ac:dyDescent="0.25">
      <c r="A200" s="31" t="s">
        <v>1945</v>
      </c>
      <c r="B200" s="32"/>
      <c r="C200" s="33"/>
      <c r="D200" s="32"/>
      <c r="E200" s="33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</row>
    <row r="201" spans="1:36" x14ac:dyDescent="0.25">
      <c r="A201" s="2"/>
    </row>
    <row r="202" spans="1:36" x14ac:dyDescent="0.25">
      <c r="A202" s="4" t="s">
        <v>291</v>
      </c>
      <c r="C202" s="5" t="s">
        <v>2428</v>
      </c>
      <c r="D202" s="6"/>
      <c r="E202" s="5" t="s">
        <v>1870</v>
      </c>
      <c r="G202" s="36" t="s">
        <v>1871</v>
      </c>
      <c r="H202" s="36" t="s">
        <v>1872</v>
      </c>
      <c r="I202" s="36" t="s">
        <v>1873</v>
      </c>
      <c r="J202" s="36" t="s">
        <v>1874</v>
      </c>
      <c r="K202" s="36" t="s">
        <v>1875</v>
      </c>
      <c r="L202" s="36" t="s">
        <v>1876</v>
      </c>
      <c r="M202" s="36" t="s">
        <v>1877</v>
      </c>
      <c r="N202" s="36" t="s">
        <v>1878</v>
      </c>
      <c r="O202" s="36" t="s">
        <v>1879</v>
      </c>
      <c r="P202" s="36" t="s">
        <v>1880</v>
      </c>
      <c r="Q202" s="36" t="s">
        <v>1881</v>
      </c>
      <c r="R202" s="36" t="s">
        <v>1882</v>
      </c>
    </row>
    <row r="203" spans="1:36" s="6" customFormat="1" ht="30" x14ac:dyDescent="0.25">
      <c r="A203" s="7" t="s">
        <v>424</v>
      </c>
      <c r="B203" s="1"/>
      <c r="C203" s="3">
        <f>SUM(G203:R203)</f>
        <v>0</v>
      </c>
      <c r="D203" s="1"/>
      <c r="E203" s="82">
        <v>15000</v>
      </c>
      <c r="F203" s="1"/>
      <c r="G203" s="3"/>
      <c r="H203" s="3"/>
      <c r="I203" s="3"/>
      <c r="J203" s="3"/>
      <c r="K203" s="3"/>
      <c r="L203" s="3"/>
      <c r="M203" s="3"/>
      <c r="N203" s="255"/>
      <c r="O203" s="3"/>
      <c r="P203" s="3"/>
      <c r="Q203" s="3"/>
      <c r="R203" s="3"/>
      <c r="S203" s="50">
        <v>2</v>
      </c>
      <c r="T203" s="51">
        <v>4</v>
      </c>
      <c r="U203" s="51">
        <v>1</v>
      </c>
      <c r="V203" s="51">
        <v>2</v>
      </c>
      <c r="W203" s="51" t="s">
        <v>1924</v>
      </c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</row>
    <row r="204" spans="1:36" s="6" customFormat="1" ht="30" x14ac:dyDescent="0.25">
      <c r="A204" s="7" t="s">
        <v>425</v>
      </c>
      <c r="B204" s="1"/>
      <c r="C204" s="3">
        <f t="shared" ref="C204" si="41">SUM(G204:R204)</f>
        <v>0</v>
      </c>
      <c r="D204" s="1"/>
      <c r="E204" s="3">
        <v>0</v>
      </c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50">
        <v>2</v>
      </c>
      <c r="T204" s="51">
        <v>4</v>
      </c>
      <c r="U204" s="51">
        <v>5</v>
      </c>
      <c r="V204" s="51">
        <v>2</v>
      </c>
      <c r="W204" s="51" t="s">
        <v>1923</v>
      </c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</row>
    <row r="205" spans="1:36" s="6" customFormat="1" ht="30.75" thickBot="1" x14ac:dyDescent="0.3">
      <c r="A205" s="2" t="s">
        <v>1946</v>
      </c>
      <c r="C205" s="9">
        <f>SUM(C203:C204)</f>
        <v>0</v>
      </c>
      <c r="E205" s="9">
        <f>SUM(E203:E204)</f>
        <v>15000</v>
      </c>
      <c r="G205" s="9">
        <f t="shared" ref="G205:R205" si="42">SUM(G203:G204)</f>
        <v>0</v>
      </c>
      <c r="H205" s="9">
        <f t="shared" si="42"/>
        <v>0</v>
      </c>
      <c r="I205" s="9">
        <f t="shared" si="42"/>
        <v>0</v>
      </c>
      <c r="J205" s="9">
        <f t="shared" si="42"/>
        <v>0</v>
      </c>
      <c r="K205" s="9">
        <f t="shared" si="42"/>
        <v>0</v>
      </c>
      <c r="L205" s="9">
        <f t="shared" si="42"/>
        <v>0</v>
      </c>
      <c r="M205" s="9">
        <f t="shared" si="42"/>
        <v>0</v>
      </c>
      <c r="N205" s="9">
        <f t="shared" si="42"/>
        <v>0</v>
      </c>
      <c r="O205" s="9">
        <f t="shared" si="42"/>
        <v>0</v>
      </c>
      <c r="P205" s="9">
        <f t="shared" si="42"/>
        <v>0</v>
      </c>
      <c r="Q205" s="9">
        <f t="shared" si="42"/>
        <v>0</v>
      </c>
      <c r="R205" s="9">
        <f t="shared" si="42"/>
        <v>0</v>
      </c>
      <c r="S205" s="5"/>
      <c r="T205" s="52"/>
      <c r="U205" s="52"/>
      <c r="V205" s="52"/>
      <c r="W205" s="52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</row>
    <row r="206" spans="1:36" ht="15.75" thickTop="1" x14ac:dyDescent="0.25">
      <c r="A206" s="2"/>
      <c r="B206" s="6"/>
      <c r="C206" s="3">
        <f>+C205-E205</f>
        <v>-15000</v>
      </c>
      <c r="D206" s="6"/>
      <c r="E206" s="54"/>
      <c r="F206" s="6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"/>
      <c r="T206" s="52"/>
      <c r="U206" s="52"/>
      <c r="V206" s="52"/>
      <c r="W206" s="52"/>
    </row>
    <row r="207" spans="1:36" x14ac:dyDescent="0.25">
      <c r="A207" s="2"/>
      <c r="B207" s="6"/>
      <c r="C207" s="53"/>
      <c r="D207" s="6"/>
      <c r="E207" s="54"/>
      <c r="F207" s="6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"/>
      <c r="T207" s="52"/>
      <c r="U207" s="52"/>
      <c r="V207" s="52"/>
      <c r="W207" s="52"/>
    </row>
    <row r="208" spans="1:36" x14ac:dyDescent="0.25">
      <c r="G208" s="3" t="s">
        <v>7</v>
      </c>
    </row>
    <row r="209" spans="1:36" x14ac:dyDescent="0.25">
      <c r="A209" s="31" t="s">
        <v>1947</v>
      </c>
      <c r="B209" s="32"/>
      <c r="C209" s="33"/>
      <c r="D209" s="32"/>
      <c r="E209" s="33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</row>
    <row r="210" spans="1:36" x14ac:dyDescent="0.25">
      <c r="A210" s="2"/>
    </row>
    <row r="211" spans="1:36" x14ac:dyDescent="0.25">
      <c r="A211" s="4" t="s">
        <v>291</v>
      </c>
      <c r="C211" s="5" t="s">
        <v>2428</v>
      </c>
      <c r="D211" s="6"/>
      <c r="E211" s="5" t="s">
        <v>1870</v>
      </c>
      <c r="G211" s="36" t="s">
        <v>1871</v>
      </c>
      <c r="H211" s="36" t="s">
        <v>1872</v>
      </c>
      <c r="I211" s="36" t="s">
        <v>1873</v>
      </c>
      <c r="J211" s="36" t="s">
        <v>1874</v>
      </c>
      <c r="K211" s="36" t="s">
        <v>1875</v>
      </c>
      <c r="L211" s="36" t="s">
        <v>1876</v>
      </c>
      <c r="M211" s="36" t="s">
        <v>1877</v>
      </c>
      <c r="N211" s="36" t="s">
        <v>1878</v>
      </c>
      <c r="O211" s="36" t="s">
        <v>1879</v>
      </c>
      <c r="P211" s="36" t="s">
        <v>1880</v>
      </c>
      <c r="Q211" s="36" t="s">
        <v>1881</v>
      </c>
      <c r="R211" s="36" t="s">
        <v>1882</v>
      </c>
    </row>
    <row r="212" spans="1:36" x14ac:dyDescent="0.25">
      <c r="A212" s="7" t="s">
        <v>428</v>
      </c>
      <c r="C212" s="3">
        <f>SUM(G212:R212)</f>
        <v>0</v>
      </c>
      <c r="E212" s="3">
        <v>2107966.67</v>
      </c>
      <c r="G212" s="3">
        <v>0</v>
      </c>
      <c r="N212" s="255"/>
      <c r="S212" s="50">
        <v>2</v>
      </c>
      <c r="T212" s="51">
        <v>3</v>
      </c>
      <c r="U212" s="51">
        <v>1</v>
      </c>
    </row>
    <row r="213" spans="1:36" x14ac:dyDescent="0.25">
      <c r="A213" s="7" t="s">
        <v>429</v>
      </c>
      <c r="C213" s="3">
        <f t="shared" ref="C213:C221" si="43">SUM(G213:R213)</f>
        <v>0</v>
      </c>
      <c r="E213" s="3">
        <v>0</v>
      </c>
      <c r="G213" s="3">
        <v>0</v>
      </c>
      <c r="N213" s="255"/>
      <c r="S213" s="50">
        <v>2</v>
      </c>
      <c r="T213" s="51">
        <v>3</v>
      </c>
      <c r="U213" s="51">
        <v>2</v>
      </c>
    </row>
    <row r="214" spans="1:36" ht="30" x14ac:dyDescent="0.25">
      <c r="A214" s="7" t="s">
        <v>430</v>
      </c>
      <c r="C214" s="3">
        <f t="shared" si="43"/>
        <v>942489.59999999998</v>
      </c>
      <c r="E214" s="3">
        <v>126170</v>
      </c>
      <c r="G214" s="3">
        <v>942489.59999999998</v>
      </c>
      <c r="N214" s="255"/>
      <c r="S214" s="50">
        <v>2</v>
      </c>
      <c r="T214" s="51">
        <v>3</v>
      </c>
      <c r="U214" s="51">
        <v>3</v>
      </c>
    </row>
    <row r="215" spans="1:36" x14ac:dyDescent="0.25">
      <c r="A215" s="7" t="s">
        <v>431</v>
      </c>
      <c r="C215" s="3">
        <f t="shared" si="43"/>
        <v>2132813</v>
      </c>
      <c r="E215" s="3">
        <v>3803598.12</v>
      </c>
      <c r="G215" s="3">
        <v>2132813</v>
      </c>
      <c r="N215" s="255"/>
      <c r="S215" s="50">
        <v>2</v>
      </c>
      <c r="T215" s="51">
        <v>3</v>
      </c>
      <c r="U215" s="51">
        <v>4</v>
      </c>
    </row>
    <row r="216" spans="1:36" ht="30" x14ac:dyDescent="0.25">
      <c r="A216" s="7" t="s">
        <v>432</v>
      </c>
      <c r="C216" s="3">
        <f t="shared" si="43"/>
        <v>0</v>
      </c>
      <c r="E216" s="3">
        <v>5190.5</v>
      </c>
      <c r="G216" s="3">
        <v>0</v>
      </c>
      <c r="N216" s="255"/>
      <c r="S216" s="50">
        <v>2</v>
      </c>
      <c r="T216" s="51">
        <v>3</v>
      </c>
      <c r="U216" s="51">
        <v>5</v>
      </c>
    </row>
    <row r="217" spans="1:36" ht="30" x14ac:dyDescent="0.25">
      <c r="A217" s="7" t="s">
        <v>433</v>
      </c>
      <c r="C217" s="3">
        <f t="shared" si="43"/>
        <v>0</v>
      </c>
      <c r="E217" s="3">
        <v>493989.53</v>
      </c>
      <c r="G217" s="3">
        <v>0</v>
      </c>
      <c r="N217" s="255"/>
      <c r="S217" s="50">
        <v>2</v>
      </c>
      <c r="T217" s="51">
        <v>3</v>
      </c>
      <c r="U217" s="51">
        <v>6</v>
      </c>
    </row>
    <row r="218" spans="1:36" x14ac:dyDescent="0.25">
      <c r="A218" s="7" t="s">
        <v>434</v>
      </c>
      <c r="C218" s="3">
        <f t="shared" si="43"/>
        <v>0</v>
      </c>
      <c r="E218" s="3">
        <v>0</v>
      </c>
      <c r="G218" s="3">
        <v>0</v>
      </c>
      <c r="N218" s="255"/>
      <c r="S218" s="50">
        <v>2</v>
      </c>
      <c r="T218" s="51">
        <v>3</v>
      </c>
      <c r="U218" s="51">
        <v>7</v>
      </c>
      <c r="V218" s="51">
        <v>1</v>
      </c>
    </row>
    <row r="219" spans="1:36" x14ac:dyDescent="0.25">
      <c r="A219" s="7" t="s">
        <v>435</v>
      </c>
      <c r="C219" s="3">
        <f t="shared" si="43"/>
        <v>1247158.54</v>
      </c>
      <c r="E219" s="3">
        <v>2363262.25</v>
      </c>
      <c r="G219" s="3">
        <v>1247158.54</v>
      </c>
      <c r="N219" s="255"/>
      <c r="S219" s="50">
        <v>2</v>
      </c>
      <c r="T219" s="51">
        <v>3</v>
      </c>
      <c r="U219" s="51">
        <v>7</v>
      </c>
      <c r="V219" s="51">
        <v>2</v>
      </c>
    </row>
    <row r="220" spans="1:36" s="6" customFormat="1" x14ac:dyDescent="0.25">
      <c r="A220" s="7" t="s">
        <v>2456</v>
      </c>
      <c r="B220" s="1"/>
      <c r="C220" s="3">
        <f t="shared" si="43"/>
        <v>13554690</v>
      </c>
      <c r="D220" s="1"/>
      <c r="E220" s="3">
        <v>9087095.5899999999</v>
      </c>
      <c r="F220" s="1"/>
      <c r="G220" s="3">
        <v>13554690</v>
      </c>
      <c r="H220" s="3"/>
      <c r="I220" s="3"/>
      <c r="J220" s="3"/>
      <c r="K220" s="3"/>
      <c r="L220" s="3"/>
      <c r="M220" s="3"/>
      <c r="N220" s="255"/>
      <c r="O220" s="3"/>
      <c r="P220" s="3"/>
      <c r="Q220" s="3"/>
      <c r="R220" s="3"/>
      <c r="S220" s="50">
        <v>2</v>
      </c>
      <c r="T220" s="51">
        <v>3</v>
      </c>
      <c r="U220" s="51">
        <v>9</v>
      </c>
      <c r="V220" s="51">
        <v>3</v>
      </c>
      <c r="W220" s="51" t="s">
        <v>1923</v>
      </c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</row>
    <row r="221" spans="1:36" x14ac:dyDescent="0.25">
      <c r="A221" s="7" t="s">
        <v>437</v>
      </c>
      <c r="C221" s="3">
        <f t="shared" si="43"/>
        <v>440200.43</v>
      </c>
      <c r="E221" s="3">
        <v>2323656.5299999998</v>
      </c>
      <c r="G221" s="3">
        <v>440200.43</v>
      </c>
      <c r="S221" s="50">
        <v>2</v>
      </c>
      <c r="T221" s="51">
        <v>3</v>
      </c>
      <c r="U221" s="51">
        <v>9</v>
      </c>
    </row>
    <row r="222" spans="1:36" ht="15.75" thickBot="1" x14ac:dyDescent="0.3">
      <c r="A222" s="2" t="s">
        <v>438</v>
      </c>
      <c r="B222" s="6"/>
      <c r="C222" s="9">
        <f>SUM(C212:C221)</f>
        <v>18317351.57</v>
      </c>
      <c r="D222" s="6"/>
      <c r="E222" s="9">
        <f>SUM(E212:E221)</f>
        <v>20310929.190000001</v>
      </c>
      <c r="F222" s="6"/>
      <c r="G222" s="9">
        <f t="shared" ref="G222:R222" si="44">SUM(G212:G221)</f>
        <v>18317351.57</v>
      </c>
      <c r="H222" s="9">
        <f t="shared" si="44"/>
        <v>0</v>
      </c>
      <c r="I222" s="9">
        <f t="shared" si="44"/>
        <v>0</v>
      </c>
      <c r="J222" s="9">
        <f t="shared" si="44"/>
        <v>0</v>
      </c>
      <c r="K222" s="9">
        <f t="shared" si="44"/>
        <v>0</v>
      </c>
      <c r="L222" s="9">
        <f t="shared" si="44"/>
        <v>0</v>
      </c>
      <c r="M222" s="9">
        <f t="shared" si="44"/>
        <v>0</v>
      </c>
      <c r="N222" s="9">
        <f t="shared" si="44"/>
        <v>0</v>
      </c>
      <c r="O222" s="9">
        <f t="shared" si="44"/>
        <v>0</v>
      </c>
      <c r="P222" s="9">
        <f t="shared" si="44"/>
        <v>0</v>
      </c>
      <c r="Q222" s="9">
        <f t="shared" si="44"/>
        <v>0</v>
      </c>
      <c r="R222" s="9">
        <f t="shared" si="44"/>
        <v>0</v>
      </c>
      <c r="S222" s="5"/>
      <c r="T222" s="52"/>
      <c r="U222" s="52"/>
      <c r="V222" s="52"/>
      <c r="W222" s="52"/>
    </row>
    <row r="223" spans="1:36" ht="15.75" thickTop="1" x14ac:dyDescent="0.25">
      <c r="R223" s="3" t="s">
        <v>7</v>
      </c>
    </row>
    <row r="224" spans="1:36" x14ac:dyDescent="0.25">
      <c r="C224" s="53"/>
      <c r="N224" s="3" t="s">
        <v>7</v>
      </c>
      <c r="R224" s="3" t="s">
        <v>7</v>
      </c>
    </row>
    <row r="225" spans="1:36" x14ac:dyDescent="0.25">
      <c r="A225" s="31" t="s">
        <v>1948</v>
      </c>
      <c r="B225" s="32"/>
      <c r="C225" s="33"/>
      <c r="D225" s="32"/>
      <c r="E225" s="33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</row>
    <row r="226" spans="1:36" x14ac:dyDescent="0.25">
      <c r="A226" s="2"/>
    </row>
    <row r="227" spans="1:36" x14ac:dyDescent="0.25">
      <c r="A227" s="4" t="s">
        <v>291</v>
      </c>
      <c r="C227" s="5" t="s">
        <v>2428</v>
      </c>
      <c r="D227" s="6"/>
      <c r="E227" s="5" t="s">
        <v>1870</v>
      </c>
      <c r="G227" s="36" t="s">
        <v>1871</v>
      </c>
      <c r="H227" s="36" t="s">
        <v>1872</v>
      </c>
      <c r="I227" s="36" t="s">
        <v>1873</v>
      </c>
      <c r="J227" s="36" t="s">
        <v>1874</v>
      </c>
      <c r="K227" s="36" t="s">
        <v>1875</v>
      </c>
      <c r="L227" s="36" t="s">
        <v>1876</v>
      </c>
      <c r="M227" s="36" t="s">
        <v>1877</v>
      </c>
      <c r="N227" s="36" t="s">
        <v>1878</v>
      </c>
      <c r="O227" s="36" t="s">
        <v>1879</v>
      </c>
      <c r="P227" s="36" t="s">
        <v>1880</v>
      </c>
      <c r="Q227" s="36" t="s">
        <v>1881</v>
      </c>
      <c r="R227" s="36" t="s">
        <v>1882</v>
      </c>
    </row>
    <row r="228" spans="1:36" x14ac:dyDescent="0.25">
      <c r="A228" s="78" t="s">
        <v>1949</v>
      </c>
      <c r="C228" s="3">
        <f>+G228</f>
        <v>34139.49</v>
      </c>
      <c r="E228" s="3">
        <f t="shared" ref="E228:G228" si="45">18651.42+9309.27+6178.8</f>
        <v>34139.49</v>
      </c>
      <c r="G228" s="3">
        <f t="shared" si="45"/>
        <v>34139.49</v>
      </c>
    </row>
    <row r="229" spans="1:36" x14ac:dyDescent="0.25">
      <c r="A229" s="78" t="s">
        <v>1950</v>
      </c>
      <c r="C229" s="3">
        <f t="shared" ref="C229:C232" si="46">+G229</f>
        <v>248898.33000000002</v>
      </c>
      <c r="E229" s="3">
        <f t="shared" ref="E229:G229" si="47">164344.35+83980.42+573.56</f>
        <v>248898.33000000002</v>
      </c>
      <c r="G229" s="3">
        <f t="shared" si="47"/>
        <v>248898.33000000002</v>
      </c>
    </row>
    <row r="230" spans="1:36" x14ac:dyDescent="0.25">
      <c r="A230" s="78" t="s">
        <v>1951</v>
      </c>
      <c r="C230" s="3">
        <f t="shared" si="46"/>
        <v>3233.48</v>
      </c>
      <c r="E230" s="3">
        <v>3233.48</v>
      </c>
      <c r="G230" s="3">
        <v>3233.48</v>
      </c>
    </row>
    <row r="231" spans="1:36" s="6" customFormat="1" x14ac:dyDescent="0.25">
      <c r="A231" s="78" t="s">
        <v>1952</v>
      </c>
      <c r="B231" s="1"/>
      <c r="C231" s="3">
        <f t="shared" si="46"/>
        <v>175891.81000000003</v>
      </c>
      <c r="D231" s="1"/>
      <c r="E231" s="3">
        <f t="shared" ref="E231:G231" si="48">168624.26+767+694.95+5805.6</f>
        <v>175891.81000000003</v>
      </c>
      <c r="F231" s="1"/>
      <c r="G231" s="3">
        <f t="shared" si="48"/>
        <v>175891.81000000003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50"/>
      <c r="T231" s="51"/>
      <c r="U231" s="51"/>
      <c r="V231" s="51"/>
      <c r="W231" s="51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</row>
    <row r="232" spans="1:36" x14ac:dyDescent="0.25">
      <c r="A232" s="78" t="s">
        <v>1953</v>
      </c>
      <c r="C232" s="3">
        <f t="shared" si="46"/>
        <v>1862050.3399999999</v>
      </c>
      <c r="E232" s="127">
        <f t="shared" ref="E232:G232" si="49">1000930.82+861119.52</f>
        <v>1862050.3399999999</v>
      </c>
      <c r="G232" s="127">
        <f t="shared" si="49"/>
        <v>1862050.3399999999</v>
      </c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</row>
    <row r="233" spans="1:36" ht="15.75" thickBot="1" x14ac:dyDescent="0.3">
      <c r="A233" s="79" t="s">
        <v>445</v>
      </c>
      <c r="B233" s="6"/>
      <c r="C233" s="9">
        <f>SUM(C228:C232)</f>
        <v>2324213.4499999997</v>
      </c>
      <c r="D233" s="6"/>
      <c r="E233" s="9">
        <f>SUM(E228:E232)</f>
        <v>2324213.4499999997</v>
      </c>
      <c r="F233" s="6"/>
      <c r="G233" s="9">
        <f t="shared" ref="G233:R233" si="50">SUM(G228:G232)</f>
        <v>2324213.4499999997</v>
      </c>
      <c r="H233" s="9">
        <f>SUM(H228:H232)</f>
        <v>0</v>
      </c>
      <c r="I233" s="9">
        <f>SUM(I228:I232)</f>
        <v>0</v>
      </c>
      <c r="J233" s="9">
        <f t="shared" si="50"/>
        <v>0</v>
      </c>
      <c r="K233" s="9">
        <f t="shared" si="50"/>
        <v>0</v>
      </c>
      <c r="L233" s="9">
        <f t="shared" si="50"/>
        <v>0</v>
      </c>
      <c r="M233" s="9">
        <f t="shared" si="50"/>
        <v>0</v>
      </c>
      <c r="N233" s="9">
        <f t="shared" si="50"/>
        <v>0</v>
      </c>
      <c r="O233" s="9">
        <f t="shared" si="50"/>
        <v>0</v>
      </c>
      <c r="P233" s="9">
        <f t="shared" si="50"/>
        <v>0</v>
      </c>
      <c r="Q233" s="9">
        <f t="shared" si="50"/>
        <v>0</v>
      </c>
      <c r="R233" s="9">
        <f t="shared" si="50"/>
        <v>0</v>
      </c>
      <c r="S233" s="5"/>
      <c r="T233" s="52"/>
      <c r="U233" s="52"/>
      <c r="V233" s="52"/>
      <c r="W233" s="52"/>
    </row>
    <row r="234" spans="1:36" ht="15.75" thickTop="1" x14ac:dyDescent="0.25">
      <c r="C234" s="3">
        <f>+C233-E233</f>
        <v>0</v>
      </c>
    </row>
    <row r="235" spans="1:36" x14ac:dyDescent="0.25">
      <c r="C235" s="53">
        <f>+C234/E233</f>
        <v>0</v>
      </c>
    </row>
    <row r="236" spans="1:36" x14ac:dyDescent="0.25">
      <c r="A236" s="31" t="s">
        <v>1954</v>
      </c>
      <c r="B236" s="32"/>
      <c r="C236" s="33"/>
      <c r="D236" s="32"/>
      <c r="E236" s="33"/>
      <c r="F236" s="32"/>
      <c r="G236" s="33"/>
      <c r="H236" s="33"/>
      <c r="I236" s="33"/>
      <c r="J236" s="33"/>
      <c r="K236" s="33"/>
      <c r="L236" s="33"/>
      <c r="M236" s="33">
        <f>M235-M233</f>
        <v>0</v>
      </c>
      <c r="N236" s="33"/>
      <c r="O236" s="33"/>
      <c r="P236" s="33"/>
      <c r="Q236" s="33"/>
      <c r="R236" s="33"/>
    </row>
    <row r="238" spans="1:36" x14ac:dyDescent="0.25">
      <c r="A238" s="4" t="s">
        <v>291</v>
      </c>
      <c r="C238" s="5" t="s">
        <v>2428</v>
      </c>
      <c r="D238" s="6"/>
      <c r="E238" s="5" t="s">
        <v>1870</v>
      </c>
      <c r="F238" s="1" t="s">
        <v>7</v>
      </c>
      <c r="G238" s="36" t="s">
        <v>1871</v>
      </c>
      <c r="H238" s="36" t="s">
        <v>1872</v>
      </c>
      <c r="I238" s="36" t="s">
        <v>1873</v>
      </c>
      <c r="J238" s="36" t="s">
        <v>1874</v>
      </c>
      <c r="K238" s="36" t="s">
        <v>1875</v>
      </c>
      <c r="L238" s="36" t="s">
        <v>1876</v>
      </c>
      <c r="M238" s="36" t="s">
        <v>1877</v>
      </c>
      <c r="N238" s="36" t="s">
        <v>1878</v>
      </c>
      <c r="O238" s="36" t="s">
        <v>1879</v>
      </c>
      <c r="P238" s="36" t="s">
        <v>1880</v>
      </c>
      <c r="Q238" s="36" t="s">
        <v>1881</v>
      </c>
      <c r="R238" s="36" t="s">
        <v>1882</v>
      </c>
    </row>
    <row r="239" spans="1:36" x14ac:dyDescent="0.25">
      <c r="A239" s="7" t="s">
        <v>447</v>
      </c>
      <c r="C239" s="3">
        <f>SUM(G239:R239)</f>
        <v>1060481.42</v>
      </c>
      <c r="E239" s="3">
        <f>'[6]NOTAS (2)'!G239</f>
        <v>13187.54</v>
      </c>
      <c r="G239" s="3">
        <v>1060481.42</v>
      </c>
      <c r="N239" s="255"/>
      <c r="S239" s="50">
        <v>2</v>
      </c>
      <c r="T239" s="51">
        <v>2</v>
      </c>
      <c r="U239" s="51">
        <v>1</v>
      </c>
    </row>
    <row r="240" spans="1:36" ht="30" x14ac:dyDescent="0.25">
      <c r="A240" s="7" t="s">
        <v>448</v>
      </c>
      <c r="C240" s="3">
        <f t="shared" ref="C240:C247" si="51">SUM(G240:R240)</f>
        <v>0</v>
      </c>
      <c r="E240" s="3">
        <f>'[6]NOTAS (2)'!G240</f>
        <v>0</v>
      </c>
      <c r="G240" s="47">
        <v>0</v>
      </c>
      <c r="H240" s="47"/>
      <c r="I240" s="47"/>
      <c r="J240" s="47"/>
      <c r="K240" s="47"/>
      <c r="L240" s="47"/>
      <c r="M240" s="47"/>
      <c r="N240" s="255"/>
      <c r="O240" s="47"/>
      <c r="P240" s="47"/>
      <c r="Q240" s="47"/>
      <c r="R240" s="47"/>
      <c r="S240" s="50">
        <v>2</v>
      </c>
      <c r="T240" s="51">
        <v>2</v>
      </c>
      <c r="U240" s="51">
        <v>2</v>
      </c>
    </row>
    <row r="241" spans="1:36" x14ac:dyDescent="0.25">
      <c r="A241" s="7" t="s">
        <v>449</v>
      </c>
      <c r="C241" s="3">
        <f t="shared" si="51"/>
        <v>0</v>
      </c>
      <c r="E241" s="3">
        <f>'[6]NOTAS (2)'!G241</f>
        <v>0</v>
      </c>
      <c r="G241" s="3">
        <v>0</v>
      </c>
      <c r="N241" s="255"/>
      <c r="S241" s="50">
        <v>2</v>
      </c>
      <c r="T241" s="51">
        <v>2</v>
      </c>
      <c r="U241" s="51">
        <v>3</v>
      </c>
      <c r="Y241" s="3">
        <v>60907118.659999996</v>
      </c>
    </row>
    <row r="242" spans="1:36" x14ac:dyDescent="0.25">
      <c r="A242" s="7" t="s">
        <v>450</v>
      </c>
      <c r="C242" s="3">
        <f t="shared" si="51"/>
        <v>1000</v>
      </c>
      <c r="E242" s="3">
        <f>'[6]NOTAS (2)'!G242</f>
        <v>3624.91</v>
      </c>
      <c r="G242" s="3">
        <v>1000</v>
      </c>
      <c r="N242" s="255"/>
      <c r="S242" s="50">
        <v>2</v>
      </c>
      <c r="T242" s="51">
        <v>2</v>
      </c>
      <c r="U242" s="51">
        <v>4</v>
      </c>
      <c r="Y242" s="166">
        <f>R136</f>
        <v>0</v>
      </c>
    </row>
    <row r="243" spans="1:36" x14ac:dyDescent="0.25">
      <c r="A243" s="7" t="s">
        <v>451</v>
      </c>
      <c r="C243" s="3">
        <f t="shared" si="51"/>
        <v>4500</v>
      </c>
      <c r="E243" s="3">
        <f>'[6]NOTAS (2)'!G243</f>
        <v>327000</v>
      </c>
      <c r="G243" s="47">
        <v>4500</v>
      </c>
      <c r="H243" s="47"/>
      <c r="I243" s="47"/>
      <c r="J243" s="47"/>
      <c r="K243" s="47"/>
      <c r="L243" s="47"/>
      <c r="M243" s="47"/>
      <c r="N243" s="255"/>
      <c r="O243" s="47"/>
      <c r="P243" s="47"/>
      <c r="Q243" s="47"/>
      <c r="R243" s="47"/>
      <c r="S243" s="50">
        <v>2</v>
      </c>
      <c r="T243" s="51">
        <v>2</v>
      </c>
      <c r="U243" s="51">
        <v>5</v>
      </c>
      <c r="Y243" s="166">
        <f>R137</f>
        <v>0</v>
      </c>
    </row>
    <row r="244" spans="1:36" s="6" customFormat="1" x14ac:dyDescent="0.25">
      <c r="A244" s="7" t="s">
        <v>1955</v>
      </c>
      <c r="B244" s="1"/>
      <c r="C244" s="3">
        <f t="shared" si="51"/>
        <v>546594.68000000005</v>
      </c>
      <c r="D244" s="1"/>
      <c r="E244" s="3">
        <f>'[6]NOTAS (2)'!G244</f>
        <v>439863</v>
      </c>
      <c r="F244" s="1"/>
      <c r="G244" s="47">
        <v>546594.68000000005</v>
      </c>
      <c r="H244" s="47"/>
      <c r="I244" s="47"/>
      <c r="J244" s="47"/>
      <c r="K244" s="47"/>
      <c r="L244" s="47"/>
      <c r="M244" s="47"/>
      <c r="N244" s="255"/>
      <c r="O244" s="47"/>
      <c r="P244" s="47"/>
      <c r="Q244" s="47"/>
      <c r="R244" s="47"/>
      <c r="S244" s="50"/>
      <c r="T244" s="51"/>
      <c r="U244" s="51"/>
      <c r="V244" s="51"/>
      <c r="W244" s="51"/>
      <c r="X244" s="35"/>
      <c r="Y244" s="167">
        <f>Y241-Y242-Y243</f>
        <v>60907118.659999996</v>
      </c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</row>
    <row r="245" spans="1:36" ht="30" x14ac:dyDescent="0.25">
      <c r="A245" s="7" t="s">
        <v>453</v>
      </c>
      <c r="C245" s="3">
        <f t="shared" si="51"/>
        <v>722555.61</v>
      </c>
      <c r="E245" s="3">
        <f>'[6]NOTAS (2)'!G245</f>
        <v>1903582.21</v>
      </c>
      <c r="G245" s="3">
        <v>722555.61</v>
      </c>
      <c r="I245" s="234"/>
      <c r="N245" s="255"/>
      <c r="S245" s="50">
        <v>2</v>
      </c>
      <c r="T245" s="51">
        <v>2</v>
      </c>
      <c r="U245" s="51">
        <v>7</v>
      </c>
      <c r="Y245" s="3">
        <v>999134.39</v>
      </c>
    </row>
    <row r="246" spans="1:36" x14ac:dyDescent="0.25">
      <c r="A246" s="7" t="s">
        <v>454</v>
      </c>
      <c r="C246" s="3">
        <f t="shared" si="51"/>
        <v>470505.92</v>
      </c>
      <c r="E246" s="3">
        <f>'[6]NOTAS (2)'!G246</f>
        <v>1267594.5</v>
      </c>
      <c r="G246" s="3">
        <v>470505.92</v>
      </c>
      <c r="N246" s="255"/>
      <c r="S246" s="50">
        <v>2</v>
      </c>
      <c r="T246" s="51">
        <v>2</v>
      </c>
      <c r="U246" s="51">
        <v>8</v>
      </c>
      <c r="Y246" s="166">
        <f>Y244-Y245</f>
        <v>59907984.269999996</v>
      </c>
    </row>
    <row r="247" spans="1:36" x14ac:dyDescent="0.25">
      <c r="A247" s="7" t="s">
        <v>455</v>
      </c>
      <c r="C247" s="3">
        <f t="shared" si="51"/>
        <v>0</v>
      </c>
      <c r="E247" s="3">
        <f>'[6]NOTAS (2)'!G247</f>
        <v>0</v>
      </c>
      <c r="G247" s="3">
        <v>0</v>
      </c>
      <c r="N247" s="256"/>
    </row>
    <row r="248" spans="1:36" ht="15.75" thickBot="1" x14ac:dyDescent="0.3">
      <c r="A248" s="2" t="s">
        <v>1956</v>
      </c>
      <c r="B248" s="6"/>
      <c r="C248" s="9">
        <f>SUM(C239:C247)</f>
        <v>2805637.63</v>
      </c>
      <c r="D248" s="6"/>
      <c r="E248" s="9">
        <f>SUM(E239:E247)</f>
        <v>3954852.16</v>
      </c>
      <c r="F248" s="6"/>
      <c r="G248" s="9">
        <f>SUM(G239:G247)</f>
        <v>2805637.63</v>
      </c>
      <c r="H248" s="9">
        <f t="shared" ref="H248:R248" si="52">SUM(H239:H247)</f>
        <v>0</v>
      </c>
      <c r="I248" s="9">
        <f t="shared" si="52"/>
        <v>0</v>
      </c>
      <c r="J248" s="9">
        <f t="shared" si="52"/>
        <v>0</v>
      </c>
      <c r="K248" s="9">
        <f t="shared" si="52"/>
        <v>0</v>
      </c>
      <c r="L248" s="9">
        <f t="shared" si="52"/>
        <v>0</v>
      </c>
      <c r="M248" s="9">
        <f t="shared" si="52"/>
        <v>0</v>
      </c>
      <c r="N248" s="163">
        <f t="shared" si="52"/>
        <v>0</v>
      </c>
      <c r="O248" s="9">
        <f t="shared" si="52"/>
        <v>0</v>
      </c>
      <c r="P248" s="9">
        <f t="shared" si="52"/>
        <v>0</v>
      </c>
      <c r="Q248" s="9">
        <f t="shared" si="52"/>
        <v>0</v>
      </c>
      <c r="R248" s="9">
        <f t="shared" si="52"/>
        <v>0</v>
      </c>
      <c r="S248" s="5"/>
      <c r="T248" s="52"/>
      <c r="U248" s="52"/>
      <c r="V248" s="52"/>
      <c r="W248" s="52"/>
    </row>
    <row r="249" spans="1:36" ht="15.75" thickTop="1" x14ac:dyDescent="0.25"/>
    <row r="250" spans="1:36" x14ac:dyDescent="0.25">
      <c r="C250" s="53"/>
    </row>
    <row r="252" spans="1:36" x14ac:dyDescent="0.25">
      <c r="K252" s="3" t="s">
        <v>7</v>
      </c>
      <c r="R252" s="3">
        <f>R142+R149-R161-R222-R248</f>
        <v>0</v>
      </c>
    </row>
    <row r="255" spans="1:36" x14ac:dyDescent="0.25">
      <c r="L255" s="149"/>
    </row>
    <row r="256" spans="1:36" x14ac:dyDescent="0.25">
      <c r="K256" s="148"/>
    </row>
    <row r="260" spans="11:11" x14ac:dyDescent="0.25">
      <c r="K260" s="150"/>
    </row>
    <row r="263" spans="11:11" x14ac:dyDescent="0.25">
      <c r="K263" s="3" t="s">
        <v>7</v>
      </c>
    </row>
    <row r="276" spans="2:2" x14ac:dyDescent="0.25">
      <c r="B276" s="1" t="s">
        <v>1957</v>
      </c>
    </row>
    <row r="290" spans="2:4" x14ac:dyDescent="0.25">
      <c r="B290" s="1" t="s">
        <v>1958</v>
      </c>
    </row>
    <row r="291" spans="2:4" x14ac:dyDescent="0.25">
      <c r="B291" s="1" t="s">
        <v>1959</v>
      </c>
    </row>
    <row r="295" spans="2:4" x14ac:dyDescent="0.25">
      <c r="C295" s="3">
        <f>'NOTAS (2)'!P194</f>
        <v>0</v>
      </c>
      <c r="D295" s="106">
        <f>'NOTAS (2)'!E194</f>
        <v>1776812.59</v>
      </c>
    </row>
    <row r="296" spans="2:4" x14ac:dyDescent="0.25">
      <c r="C296" s="3">
        <f>'NOTAS (2)'!P195</f>
        <v>0</v>
      </c>
      <c r="D296" s="106">
        <f>'NOTAS (2)'!E195</f>
        <v>1779318.75</v>
      </c>
    </row>
    <row r="297" spans="2:4" x14ac:dyDescent="0.25">
      <c r="C297" s="127">
        <f>'NOTAS (2)'!P196</f>
        <v>0</v>
      </c>
      <c r="D297" s="160">
        <f>'NOTAS (2)'!E196</f>
        <v>289143.62</v>
      </c>
    </row>
    <row r="303" spans="2:4" x14ac:dyDescent="0.25">
      <c r="B303" s="1" t="s">
        <v>1960</v>
      </c>
    </row>
    <row r="307" spans="2:4" x14ac:dyDescent="0.25">
      <c r="C307" s="3">
        <f>'NOTAS (2)'!P203</f>
        <v>0</v>
      </c>
      <c r="D307" s="161">
        <f>'NOTAS (2)'!E203</f>
        <v>15000</v>
      </c>
    </row>
    <row r="308" spans="2:4" x14ac:dyDescent="0.25">
      <c r="C308" s="3">
        <f>'NOTAS (2)'!P204</f>
        <v>0</v>
      </c>
      <c r="D308" s="161">
        <f>'NOTAS (2)'!E204</f>
        <v>0</v>
      </c>
    </row>
    <row r="313" spans="2:4" x14ac:dyDescent="0.25">
      <c r="B313" s="1" t="s">
        <v>1961</v>
      </c>
    </row>
    <row r="314" spans="2:4" x14ac:dyDescent="0.25">
      <c r="B314" s="1" t="s">
        <v>1962</v>
      </c>
    </row>
    <row r="318" spans="2:4" x14ac:dyDescent="0.25">
      <c r="C318" s="3">
        <f>'NOTAS (2)'!P212</f>
        <v>0</v>
      </c>
      <c r="D318" s="106">
        <f>'NOTAS (2)'!E212</f>
        <v>2107966.67</v>
      </c>
    </row>
    <row r="319" spans="2:4" x14ac:dyDescent="0.25">
      <c r="C319" s="3">
        <f>'NOTAS (2)'!P213</f>
        <v>0</v>
      </c>
      <c r="D319" s="106">
        <f>'NOTAS (2)'!E213</f>
        <v>0</v>
      </c>
    </row>
    <row r="320" spans="2:4" x14ac:dyDescent="0.25">
      <c r="C320" s="3">
        <f>'NOTAS (2)'!P214</f>
        <v>0</v>
      </c>
      <c r="D320" s="106">
        <f>'NOTAS (2)'!E214</f>
        <v>126170</v>
      </c>
    </row>
    <row r="321" spans="2:4" x14ac:dyDescent="0.25">
      <c r="C321" s="3">
        <f>'NOTAS (2)'!P215</f>
        <v>0</v>
      </c>
      <c r="D321" s="106">
        <f>'NOTAS (2)'!E215</f>
        <v>3803598.12</v>
      </c>
    </row>
    <row r="322" spans="2:4" x14ac:dyDescent="0.25">
      <c r="C322" s="3">
        <f>'NOTAS (2)'!P216</f>
        <v>0</v>
      </c>
      <c r="D322" s="106">
        <f>'NOTAS (2)'!E216</f>
        <v>5190.5</v>
      </c>
    </row>
    <row r="323" spans="2:4" x14ac:dyDescent="0.25">
      <c r="C323" s="3">
        <f>'NOTAS (2)'!P217</f>
        <v>0</v>
      </c>
      <c r="D323" s="106">
        <f>'NOTAS (2)'!E217</f>
        <v>493989.53</v>
      </c>
    </row>
    <row r="324" spans="2:4" x14ac:dyDescent="0.25">
      <c r="C324" s="3">
        <f>'NOTAS (2)'!P218</f>
        <v>0</v>
      </c>
      <c r="D324" s="106">
        <f>'NOTAS (2)'!E218</f>
        <v>0</v>
      </c>
    </row>
    <row r="325" spans="2:4" x14ac:dyDescent="0.25">
      <c r="C325" s="3">
        <f>'NOTAS (2)'!P219</f>
        <v>0</v>
      </c>
      <c r="D325" s="106">
        <f>'NOTAS (2)'!E219</f>
        <v>2363262.25</v>
      </c>
    </row>
    <row r="326" spans="2:4" x14ac:dyDescent="0.25">
      <c r="C326" s="3">
        <f>'NOTAS (2)'!P220</f>
        <v>0</v>
      </c>
      <c r="D326" s="106">
        <f>'NOTAS (2)'!E220</f>
        <v>9087095.5899999999</v>
      </c>
    </row>
    <row r="327" spans="2:4" x14ac:dyDescent="0.25">
      <c r="C327" s="3">
        <f>'NOTAS (2)'!P221</f>
        <v>0</v>
      </c>
      <c r="D327" s="106">
        <f>'NOTAS (2)'!E221</f>
        <v>2323656.5299999998</v>
      </c>
    </row>
    <row r="332" spans="2:4" x14ac:dyDescent="0.25">
      <c r="B332" s="1" t="s">
        <v>1963</v>
      </c>
    </row>
    <row r="337" spans="2:4" x14ac:dyDescent="0.25">
      <c r="C337" s="3">
        <f>'NOTAS (2)'!P228</f>
        <v>0</v>
      </c>
      <c r="D337" s="106">
        <f>'NOTAS (2)'!E228</f>
        <v>34139.49</v>
      </c>
    </row>
    <row r="338" spans="2:4" x14ac:dyDescent="0.25">
      <c r="C338" s="3">
        <f>'NOTAS (2)'!P229</f>
        <v>0</v>
      </c>
      <c r="D338" s="106">
        <f>'NOTAS (2)'!E229</f>
        <v>248898.33000000002</v>
      </c>
    </row>
    <row r="339" spans="2:4" x14ac:dyDescent="0.25">
      <c r="C339" s="3">
        <f>'NOTAS (2)'!P230</f>
        <v>0</v>
      </c>
      <c r="D339" s="106">
        <f>'NOTAS (2)'!E230</f>
        <v>3233.48</v>
      </c>
    </row>
    <row r="340" spans="2:4" x14ac:dyDescent="0.25">
      <c r="C340" s="3">
        <f>'NOTAS (2)'!P231</f>
        <v>0</v>
      </c>
      <c r="D340" s="106">
        <f>'NOTAS (2)'!E231</f>
        <v>175891.81000000003</v>
      </c>
    </row>
    <row r="341" spans="2:4" x14ac:dyDescent="0.25">
      <c r="C341" s="3">
        <f>'NOTAS (2)'!P232</f>
        <v>0</v>
      </c>
      <c r="D341" s="106">
        <f>'NOTAS (2)'!E232</f>
        <v>1862050.3399999999</v>
      </c>
    </row>
    <row r="348" spans="2:4" x14ac:dyDescent="0.25">
      <c r="B348" s="1" t="s">
        <v>1964</v>
      </c>
    </row>
    <row r="353" spans="3:4" x14ac:dyDescent="0.25">
      <c r="C353" s="3">
        <f>'NOTAS (2)'!P239</f>
        <v>0</v>
      </c>
      <c r="D353" s="106">
        <f>'NOTAS (2)'!E239</f>
        <v>13187.54</v>
      </c>
    </row>
    <row r="354" spans="3:4" x14ac:dyDescent="0.25">
      <c r="C354" s="3">
        <f>'NOTAS (2)'!P240</f>
        <v>0</v>
      </c>
    </row>
    <row r="355" spans="3:4" x14ac:dyDescent="0.25">
      <c r="C355" s="3">
        <f>'NOTAS (2)'!P241</f>
        <v>0</v>
      </c>
    </row>
    <row r="356" spans="3:4" x14ac:dyDescent="0.25">
      <c r="C356" s="3">
        <f>'NOTAS (2)'!P242</f>
        <v>0</v>
      </c>
    </row>
    <row r="357" spans="3:4" x14ac:dyDescent="0.25">
      <c r="C357" s="3">
        <f>'NOTAS (2)'!P243</f>
        <v>0</v>
      </c>
    </row>
    <row r="358" spans="3:4" x14ac:dyDescent="0.25">
      <c r="C358" s="3">
        <f>'NOTAS (2)'!P244</f>
        <v>0</v>
      </c>
    </row>
    <row r="359" spans="3:4" x14ac:dyDescent="0.25">
      <c r="C359" s="3">
        <f>'NOTAS (2)'!P245</f>
        <v>0</v>
      </c>
    </row>
    <row r="360" spans="3:4" x14ac:dyDescent="0.25">
      <c r="C360" s="3">
        <f>'NOTAS (2)'!P246</f>
        <v>0</v>
      </c>
    </row>
    <row r="361" spans="3:4" x14ac:dyDescent="0.25">
      <c r="C361" s="3">
        <f>'NOTAS (2)'!P247</f>
        <v>0</v>
      </c>
    </row>
  </sheetData>
  <pageMargins left="0.70866141732283472" right="0.70866141732283472" top="0.74803149606299213" bottom="0.74803149606299213" header="0.31496062992125984" footer="0.31496062992125984"/>
  <pageSetup paperSize="5" scale="4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203E-A17D-4F26-A681-2D176B6F9735}">
  <dimension ref="C14:I29"/>
  <sheetViews>
    <sheetView zoomScaleNormal="100" workbookViewId="0">
      <selection activeCell="I10" sqref="I10"/>
    </sheetView>
  </sheetViews>
  <sheetFormatPr baseColWidth="10" defaultRowHeight="15" x14ac:dyDescent="0.25"/>
  <cols>
    <col min="1" max="1" width="4.140625" customWidth="1"/>
    <col min="2" max="3" width="4.28515625" customWidth="1"/>
    <col min="4" max="4" width="16.42578125" customWidth="1"/>
    <col min="5" max="5" width="17.7109375" customWidth="1"/>
    <col min="6" max="6" width="20" customWidth="1"/>
    <col min="7" max="7" width="19.140625" customWidth="1"/>
    <col min="8" max="8" width="17.140625" customWidth="1"/>
  </cols>
  <sheetData>
    <row r="14" spans="3:3" x14ac:dyDescent="0.25">
      <c r="C14" s="17" t="s">
        <v>2421</v>
      </c>
    </row>
    <row r="18" spans="4:9" x14ac:dyDescent="0.25">
      <c r="D18" s="63"/>
      <c r="E18" s="324" t="s">
        <v>2415</v>
      </c>
      <c r="F18" s="324" t="s">
        <v>2416</v>
      </c>
      <c r="G18" s="324" t="s">
        <v>2417</v>
      </c>
      <c r="H18" s="324"/>
    </row>
    <row r="19" spans="4:9" x14ac:dyDescent="0.25">
      <c r="D19" s="17"/>
      <c r="E19" s="325" t="s">
        <v>1880</v>
      </c>
      <c r="F19" s="326">
        <f>57265519.32+21844319.15</f>
        <v>79109838.469999999</v>
      </c>
      <c r="G19" s="326">
        <f>69077512.39+17389368.087+409618+2674687.51+372396.42+34640938.39</f>
        <v>124564520.79700001</v>
      </c>
      <c r="H19" s="326">
        <f>F19-G19</f>
        <v>-45454682.327000007</v>
      </c>
      <c r="I19" t="s">
        <v>28</v>
      </c>
    </row>
    <row r="20" spans="4:9" x14ac:dyDescent="0.25">
      <c r="D20" s="17"/>
      <c r="E20" s="325" t="s">
        <v>2419</v>
      </c>
      <c r="F20" s="326">
        <f>59165704.83+40878869.15</f>
        <v>100044573.97999999</v>
      </c>
      <c r="G20" s="326">
        <f>35602799.51+17457653.2+374618+2685196.58+877021.14</f>
        <v>56997288.429999992</v>
      </c>
      <c r="H20" s="328">
        <f>F20-G20</f>
        <v>43047285.549999997</v>
      </c>
    </row>
    <row r="21" spans="4:9" x14ac:dyDescent="0.25">
      <c r="D21" s="17"/>
      <c r="E21" s="325" t="s">
        <v>1882</v>
      </c>
      <c r="F21" s="326">
        <f>9661700.3+21844319.15</f>
        <v>31506019.449999999</v>
      </c>
      <c r="G21" s="326">
        <f>82983963.66+17619293.66+16818588.23+374618+2710073.04+434763.1-23093958.93</f>
        <v>97847340.75999999</v>
      </c>
      <c r="H21" s="326">
        <f>F21-G21</f>
        <v>-66341321.309999987</v>
      </c>
      <c r="I21" t="s">
        <v>2420</v>
      </c>
    </row>
    <row r="22" spans="4:9" x14ac:dyDescent="0.25">
      <c r="D22" s="63"/>
      <c r="E22" s="324" t="s">
        <v>2418</v>
      </c>
      <c r="F22" s="327">
        <f>SUM(F19:F21)</f>
        <v>210660431.89999998</v>
      </c>
      <c r="G22" s="327">
        <f>SUM(G19:G21)</f>
        <v>279409149.98699999</v>
      </c>
      <c r="H22" s="327">
        <f>F22-G22</f>
        <v>-68748718.087000012</v>
      </c>
    </row>
    <row r="27" spans="4:9" x14ac:dyDescent="0.25">
      <c r="D27" s="17" t="s">
        <v>2422</v>
      </c>
    </row>
    <row r="28" spans="4:9" x14ac:dyDescent="0.25">
      <c r="D28" s="17" t="s">
        <v>2423</v>
      </c>
      <c r="E28" s="17"/>
      <c r="F28" s="17"/>
    </row>
    <row r="29" spans="4:9" x14ac:dyDescent="0.25">
      <c r="E29" s="17" t="s">
        <v>2424</v>
      </c>
    </row>
  </sheetData>
  <pageMargins left="0.45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F13C-5E5D-48F9-B1F5-36D77DC1A300}">
  <dimension ref="C12:G21"/>
  <sheetViews>
    <sheetView workbookViewId="0">
      <selection activeCell="F22" sqref="F22"/>
    </sheetView>
  </sheetViews>
  <sheetFormatPr baseColWidth="10" defaultRowHeight="15" x14ac:dyDescent="0.25"/>
  <cols>
    <col min="1" max="1" width="3.85546875" customWidth="1"/>
    <col min="3" max="3" width="7.140625" customWidth="1"/>
    <col min="4" max="4" width="27.5703125" customWidth="1"/>
    <col min="5" max="5" width="28.7109375" customWidth="1"/>
    <col min="6" max="6" width="18.5703125" customWidth="1"/>
    <col min="7" max="7" width="17.85546875" customWidth="1"/>
  </cols>
  <sheetData>
    <row r="12" spans="4:4" x14ac:dyDescent="0.25">
      <c r="D12" s="17" t="s">
        <v>2425</v>
      </c>
    </row>
    <row r="13" spans="4:4" x14ac:dyDescent="0.25">
      <c r="D13" s="17" t="s">
        <v>2426</v>
      </c>
    </row>
    <row r="17" spans="3:7" x14ac:dyDescent="0.25">
      <c r="C17" s="63"/>
      <c r="D17" s="324" t="s">
        <v>2415</v>
      </c>
      <c r="E17" s="324" t="s">
        <v>2416</v>
      </c>
      <c r="F17" s="63"/>
      <c r="G17" s="63"/>
    </row>
    <row r="18" spans="3:7" x14ac:dyDescent="0.25">
      <c r="C18" s="17"/>
      <c r="D18" s="325" t="s">
        <v>1880</v>
      </c>
      <c r="E18" s="326">
        <v>237949392.91999999</v>
      </c>
      <c r="F18" s="112"/>
      <c r="G18" s="112"/>
    </row>
    <row r="19" spans="3:7" x14ac:dyDescent="0.25">
      <c r="C19" s="17"/>
      <c r="D19" s="325" t="s">
        <v>2419</v>
      </c>
      <c r="E19" s="326">
        <v>266383342.56999999</v>
      </c>
      <c r="F19" s="112"/>
      <c r="G19" s="329"/>
    </row>
    <row r="20" spans="3:7" x14ac:dyDescent="0.25">
      <c r="C20" s="17"/>
      <c r="D20" s="325" t="s">
        <v>1882</v>
      </c>
      <c r="E20" s="326">
        <v>280114877.69999999</v>
      </c>
      <c r="F20" s="112"/>
      <c r="G20" s="112"/>
    </row>
    <row r="21" spans="3:7" x14ac:dyDescent="0.25">
      <c r="C21" s="63"/>
      <c r="D21" s="324" t="s">
        <v>2418</v>
      </c>
      <c r="E21" s="327">
        <f>SUM(E18:E20)</f>
        <v>784447613.19000006</v>
      </c>
      <c r="F21" s="112"/>
      <c r="G21" s="112"/>
    </row>
  </sheetData>
  <pageMargins left="0" right="0" top="1.25" bottom="0.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BA41-9153-4F79-B505-78F989D00235}">
  <dimension ref="D8:I25"/>
  <sheetViews>
    <sheetView workbookViewId="0">
      <selection activeCell="M16" sqref="M16"/>
    </sheetView>
  </sheetViews>
  <sheetFormatPr baseColWidth="10" defaultRowHeight="15" x14ac:dyDescent="0.25"/>
  <cols>
    <col min="4" max="4" width="26.28515625" customWidth="1"/>
    <col min="5" max="5" width="22.140625" customWidth="1"/>
    <col min="6" max="6" width="25.7109375" customWidth="1"/>
    <col min="7" max="7" width="24.28515625" customWidth="1"/>
    <col min="8" max="8" width="20.7109375" customWidth="1"/>
    <col min="9" max="9" width="20.5703125" customWidth="1"/>
  </cols>
  <sheetData>
    <row r="8" spans="4:9" x14ac:dyDescent="0.25">
      <c r="E8" s="17" t="s">
        <v>2454</v>
      </c>
    </row>
    <row r="9" spans="4:9" x14ac:dyDescent="0.25">
      <c r="D9" s="17" t="s">
        <v>2455</v>
      </c>
    </row>
    <row r="11" spans="4:9" ht="60" x14ac:dyDescent="0.25">
      <c r="D11" s="331" t="s">
        <v>2448</v>
      </c>
      <c r="E11" s="332" t="s">
        <v>2450</v>
      </c>
      <c r="F11" s="332" t="s">
        <v>2451</v>
      </c>
      <c r="G11" s="332" t="s">
        <v>2452</v>
      </c>
      <c r="H11" s="332" t="s">
        <v>2453</v>
      </c>
      <c r="I11" s="332" t="s">
        <v>2449</v>
      </c>
    </row>
    <row r="12" spans="4:9" x14ac:dyDescent="0.25">
      <c r="D12" s="335" t="s">
        <v>2435</v>
      </c>
      <c r="E12" s="336">
        <v>175</v>
      </c>
      <c r="F12" s="336">
        <f>7.5+7.25+7.32+17.04+23.66+7.08+5.06+15+7.5+6.15+2.29+5.54+28.05+16.39+3.82+1.95+12.6+44.66+52.25</f>
        <v>271.11</v>
      </c>
      <c r="G12" s="336">
        <v>175</v>
      </c>
      <c r="H12" s="337">
        <v>24.21</v>
      </c>
      <c r="I12" s="327">
        <f>SUM(E12:H12)</f>
        <v>645.32000000000005</v>
      </c>
    </row>
    <row r="13" spans="4:9" x14ac:dyDescent="0.25">
      <c r="D13" s="335" t="s">
        <v>2436</v>
      </c>
      <c r="E13" s="336"/>
      <c r="F13" s="336"/>
      <c r="G13" s="336"/>
      <c r="H13" s="337"/>
      <c r="I13" s="327">
        <f t="shared" ref="I13:I23" si="0">SUM(E13:H13)</f>
        <v>0</v>
      </c>
    </row>
    <row r="14" spans="4:9" x14ac:dyDescent="0.25">
      <c r="D14" s="335" t="s">
        <v>2437</v>
      </c>
      <c r="E14" s="336"/>
      <c r="F14" s="336"/>
      <c r="G14" s="336"/>
      <c r="H14" s="337"/>
      <c r="I14" s="327">
        <f t="shared" si="0"/>
        <v>0</v>
      </c>
    </row>
    <row r="15" spans="4:9" x14ac:dyDescent="0.25">
      <c r="D15" s="335" t="s">
        <v>2438</v>
      </c>
      <c r="E15" s="336"/>
      <c r="F15" s="336"/>
      <c r="G15" s="336"/>
      <c r="H15" s="337"/>
      <c r="I15" s="327">
        <f t="shared" si="0"/>
        <v>0</v>
      </c>
    </row>
    <row r="16" spans="4:9" x14ac:dyDescent="0.25">
      <c r="D16" s="335" t="s">
        <v>2439</v>
      </c>
      <c r="E16" s="336"/>
      <c r="F16" s="336"/>
      <c r="G16" s="336"/>
      <c r="H16" s="337"/>
      <c r="I16" s="327">
        <f t="shared" si="0"/>
        <v>0</v>
      </c>
    </row>
    <row r="17" spans="4:9" x14ac:dyDescent="0.25">
      <c r="D17" s="335" t="s">
        <v>2440</v>
      </c>
      <c r="E17" s="336"/>
      <c r="F17" s="336"/>
      <c r="G17" s="336"/>
      <c r="H17" s="337"/>
      <c r="I17" s="327">
        <f t="shared" si="0"/>
        <v>0</v>
      </c>
    </row>
    <row r="18" spans="4:9" x14ac:dyDescent="0.25">
      <c r="D18" s="335" t="s">
        <v>2441</v>
      </c>
      <c r="E18" s="336"/>
      <c r="F18" s="336"/>
      <c r="G18" s="336"/>
      <c r="H18" s="337"/>
      <c r="I18" s="327">
        <f t="shared" si="0"/>
        <v>0</v>
      </c>
    </row>
    <row r="19" spans="4:9" x14ac:dyDescent="0.25">
      <c r="D19" s="335" t="s">
        <v>2442</v>
      </c>
      <c r="E19" s="336"/>
      <c r="F19" s="336"/>
      <c r="G19" s="336"/>
      <c r="H19" s="337"/>
      <c r="I19" s="327">
        <f t="shared" si="0"/>
        <v>0</v>
      </c>
    </row>
    <row r="20" spans="4:9" x14ac:dyDescent="0.25">
      <c r="D20" s="335" t="s">
        <v>2443</v>
      </c>
      <c r="E20" s="336"/>
      <c r="F20" s="336"/>
      <c r="G20" s="336"/>
      <c r="H20" s="337"/>
      <c r="I20" s="327">
        <f t="shared" si="0"/>
        <v>0</v>
      </c>
    </row>
    <row r="21" spans="4:9" x14ac:dyDescent="0.25">
      <c r="D21" s="335" t="s">
        <v>2444</v>
      </c>
      <c r="E21" s="336"/>
      <c r="F21" s="336"/>
      <c r="G21" s="336"/>
      <c r="H21" s="337"/>
      <c r="I21" s="327">
        <f t="shared" si="0"/>
        <v>0</v>
      </c>
    </row>
    <row r="22" spans="4:9" x14ac:dyDescent="0.25">
      <c r="D22" s="335" t="s">
        <v>2445</v>
      </c>
      <c r="E22" s="336"/>
      <c r="F22" s="336"/>
      <c r="G22" s="336"/>
      <c r="H22" s="337"/>
      <c r="I22" s="327">
        <f t="shared" si="0"/>
        <v>0</v>
      </c>
    </row>
    <row r="23" spans="4:9" x14ac:dyDescent="0.25">
      <c r="D23" s="335" t="s">
        <v>2446</v>
      </c>
      <c r="E23" s="336"/>
      <c r="F23" s="336"/>
      <c r="G23" s="336"/>
      <c r="H23" s="337"/>
      <c r="I23" s="327">
        <f t="shared" si="0"/>
        <v>0</v>
      </c>
    </row>
    <row r="24" spans="4:9" x14ac:dyDescent="0.25">
      <c r="D24" s="333" t="s">
        <v>2447</v>
      </c>
      <c r="E24" s="334">
        <f>SUM(E12:E23)</f>
        <v>175</v>
      </c>
      <c r="F24" s="334">
        <f t="shared" ref="F24:H24" si="1">SUM(F12:F23)</f>
        <v>271.11</v>
      </c>
      <c r="G24" s="334">
        <f t="shared" si="1"/>
        <v>175</v>
      </c>
      <c r="H24" s="334">
        <f t="shared" si="1"/>
        <v>24.21</v>
      </c>
      <c r="I24" s="334">
        <f>SUM(I12:I23)</f>
        <v>645.32000000000005</v>
      </c>
    </row>
    <row r="25" spans="4:9" x14ac:dyDescent="0.25">
      <c r="E25" s="18"/>
      <c r="I25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"/>
  <sheetViews>
    <sheetView topLeftCell="A4" workbookViewId="0">
      <selection activeCell="C24" sqref="C24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7" x14ac:dyDescent="0.25">
      <c r="A1" s="201"/>
      <c r="B1" s="423" t="s">
        <v>0</v>
      </c>
      <c r="C1" s="423"/>
      <c r="D1" s="423"/>
      <c r="E1" s="423"/>
      <c r="F1" s="201"/>
      <c r="G1" s="201"/>
    </row>
    <row r="2" spans="1:7" x14ac:dyDescent="0.25">
      <c r="A2" s="201"/>
      <c r="B2" s="423" t="s">
        <v>1</v>
      </c>
      <c r="C2" s="423"/>
      <c r="D2" s="423"/>
      <c r="E2" s="423"/>
      <c r="F2" s="201"/>
      <c r="G2" s="201"/>
    </row>
    <row r="3" spans="1:7" x14ac:dyDescent="0.25">
      <c r="A3" s="201"/>
      <c r="B3" s="423" t="s">
        <v>2</v>
      </c>
      <c r="C3" s="423"/>
      <c r="D3" s="423"/>
      <c r="E3" s="423"/>
      <c r="F3" s="201"/>
      <c r="G3" s="201"/>
    </row>
    <row r="4" spans="1:7" x14ac:dyDescent="0.25">
      <c r="A4" s="201"/>
      <c r="B4" s="183"/>
      <c r="C4" s="183"/>
      <c r="D4" s="183"/>
      <c r="E4" s="183"/>
      <c r="F4" s="201"/>
      <c r="G4" s="201"/>
    </row>
    <row r="5" spans="1:7" x14ac:dyDescent="0.25">
      <c r="A5" s="201"/>
      <c r="B5" s="183"/>
      <c r="C5" s="183"/>
      <c r="D5" s="183"/>
      <c r="E5" s="183"/>
      <c r="F5" s="201"/>
      <c r="G5" s="201"/>
    </row>
    <row r="6" spans="1:7" x14ac:dyDescent="0.25">
      <c r="A6" s="201"/>
      <c r="B6" s="183"/>
      <c r="C6" s="183"/>
      <c r="D6" s="183"/>
      <c r="E6" s="183"/>
      <c r="F6" s="201"/>
      <c r="G6" s="201"/>
    </row>
    <row r="7" spans="1:7" x14ac:dyDescent="0.25">
      <c r="A7" s="201"/>
      <c r="B7" s="183"/>
      <c r="C7" s="183"/>
      <c r="D7" s="183"/>
      <c r="E7" s="183"/>
      <c r="F7" s="201"/>
      <c r="G7" s="201"/>
    </row>
    <row r="8" spans="1:7" x14ac:dyDescent="0.25">
      <c r="A8" s="201"/>
      <c r="B8" s="424"/>
      <c r="C8" s="424"/>
      <c r="D8" s="424"/>
      <c r="E8" s="424"/>
      <c r="F8" s="201"/>
      <c r="G8" s="201"/>
    </row>
    <row r="9" spans="1:7" x14ac:dyDescent="0.25">
      <c r="A9" s="201"/>
      <c r="B9" s="423" t="s">
        <v>30</v>
      </c>
      <c r="C9" s="423"/>
      <c r="D9" s="423"/>
      <c r="E9" s="423"/>
      <c r="F9" s="201"/>
      <c r="G9" s="201"/>
    </row>
    <row r="10" spans="1:7" x14ac:dyDescent="0.25">
      <c r="A10" s="201"/>
      <c r="B10" s="423" t="s">
        <v>2431</v>
      </c>
      <c r="C10" s="423"/>
      <c r="D10" s="423"/>
      <c r="E10" s="423"/>
      <c r="F10" s="201"/>
      <c r="G10" s="201"/>
    </row>
    <row r="11" spans="1:7" x14ac:dyDescent="0.25">
      <c r="A11" s="201"/>
      <c r="B11" s="418" t="s">
        <v>31</v>
      </c>
      <c r="C11" s="418"/>
      <c r="D11" s="418"/>
      <c r="E11" s="418"/>
      <c r="F11" s="418"/>
      <c r="G11" s="201"/>
    </row>
    <row r="12" spans="1:7" x14ac:dyDescent="0.25">
      <c r="A12" s="201"/>
      <c r="B12" s="419"/>
      <c r="C12" s="419"/>
      <c r="D12" s="419"/>
      <c r="E12" s="419"/>
      <c r="F12" s="201"/>
      <c r="G12" s="201"/>
    </row>
    <row r="13" spans="1:7" x14ac:dyDescent="0.25">
      <c r="A13" s="201"/>
      <c r="B13" s="184"/>
      <c r="C13" s="184"/>
      <c r="D13" s="184"/>
      <c r="E13" s="184"/>
      <c r="F13" s="201"/>
      <c r="G13" s="201"/>
    </row>
    <row r="14" spans="1:7" x14ac:dyDescent="0.25">
      <c r="A14" s="201"/>
      <c r="B14" s="425"/>
      <c r="C14" s="425"/>
      <c r="D14" s="425"/>
      <c r="E14" s="425"/>
      <c r="F14" s="201"/>
      <c r="G14" s="201"/>
    </row>
    <row r="15" spans="1:7" x14ac:dyDescent="0.25">
      <c r="A15" s="201"/>
      <c r="B15" s="185"/>
      <c r="C15" s="185">
        <v>2024</v>
      </c>
      <c r="D15" s="185" t="s">
        <v>7</v>
      </c>
      <c r="E15" s="185">
        <v>2023</v>
      </c>
      <c r="F15" s="201"/>
      <c r="G15" s="204" t="s">
        <v>7</v>
      </c>
    </row>
    <row r="16" spans="1:7" x14ac:dyDescent="0.25">
      <c r="A16" s="201"/>
      <c r="B16" s="276" t="s">
        <v>32</v>
      </c>
      <c r="C16" s="201" t="s">
        <v>7</v>
      </c>
      <c r="D16" s="201"/>
      <c r="E16" s="201"/>
      <c r="F16" s="201"/>
      <c r="G16" s="277"/>
    </row>
    <row r="17" spans="1:8" x14ac:dyDescent="0.25">
      <c r="A17" s="201"/>
      <c r="B17" s="278" t="s">
        <v>33</v>
      </c>
      <c r="C17" s="277">
        <f>'NOTAS (2)'!C142</f>
        <v>97321885.86999999</v>
      </c>
      <c r="D17" s="201"/>
      <c r="E17" s="16">
        <v>65509544.159999996</v>
      </c>
      <c r="F17" s="277"/>
      <c r="G17" s="205"/>
    </row>
    <row r="18" spans="1:8" x14ac:dyDescent="0.25">
      <c r="A18" s="201"/>
      <c r="B18" s="278" t="s">
        <v>34</v>
      </c>
      <c r="C18" s="277">
        <f>'NOTAS (2)'!C149</f>
        <v>21844319.149999999</v>
      </c>
      <c r="D18" s="201"/>
      <c r="E18" s="16">
        <v>21844319.149999999</v>
      </c>
      <c r="F18" s="277"/>
      <c r="G18" s="205"/>
    </row>
    <row r="19" spans="1:8" s="17" customFormat="1" x14ac:dyDescent="0.25">
      <c r="A19" s="203"/>
      <c r="B19" s="276" t="s">
        <v>35</v>
      </c>
      <c r="C19" s="279">
        <f>SUM(C17:C18)</f>
        <v>119166205.01999998</v>
      </c>
      <c r="D19" s="203"/>
      <c r="E19" s="95">
        <f>SUM(E17:E18)</f>
        <v>87353863.310000002</v>
      </c>
      <c r="F19" s="280"/>
      <c r="G19" s="281"/>
    </row>
    <row r="20" spans="1:8" x14ac:dyDescent="0.25">
      <c r="A20" s="201"/>
      <c r="B20" s="201"/>
      <c r="C20" s="201"/>
      <c r="D20" s="201"/>
      <c r="F20" s="201"/>
      <c r="G20" s="201"/>
      <c r="H20" s="16"/>
    </row>
    <row r="21" spans="1:8" x14ac:dyDescent="0.25">
      <c r="A21" s="201"/>
      <c r="B21" s="201"/>
      <c r="C21" s="201"/>
      <c r="D21" s="201"/>
      <c r="F21" s="201"/>
      <c r="G21" s="201"/>
    </row>
    <row r="22" spans="1:8" x14ac:dyDescent="0.25">
      <c r="A22" s="201"/>
      <c r="B22" s="201"/>
      <c r="C22" s="201"/>
      <c r="D22" s="201"/>
      <c r="F22" s="201"/>
      <c r="G22" s="201"/>
    </row>
    <row r="23" spans="1:8" x14ac:dyDescent="0.25">
      <c r="A23" s="201"/>
      <c r="B23" s="203" t="s">
        <v>36</v>
      </c>
      <c r="C23" s="201"/>
      <c r="D23" s="201"/>
      <c r="F23" s="202"/>
      <c r="G23" s="201"/>
    </row>
    <row r="24" spans="1:8" x14ac:dyDescent="0.25">
      <c r="A24" s="201"/>
      <c r="B24" s="201" t="s">
        <v>37</v>
      </c>
      <c r="C24" s="202">
        <f>'NOTAS (2)'!C161</f>
        <v>40373158.93</v>
      </c>
      <c r="D24" s="201"/>
      <c r="E24" s="18">
        <f>'NOTAS (2)'!E161</f>
        <v>29832113.07</v>
      </c>
      <c r="F24" s="277">
        <f>C24-E24</f>
        <v>10541045.859999999</v>
      </c>
      <c r="G24" s="277"/>
    </row>
    <row r="25" spans="1:8" x14ac:dyDescent="0.25">
      <c r="A25" s="201"/>
      <c r="B25" s="201" t="s">
        <v>38</v>
      </c>
      <c r="C25" s="202">
        <f>'NOTAS (2)'!C205</f>
        <v>0</v>
      </c>
      <c r="D25" s="201"/>
      <c r="E25" s="18">
        <v>15000</v>
      </c>
      <c r="F25" s="277">
        <f>C250-E25</f>
        <v>-15000</v>
      </c>
      <c r="G25" s="277"/>
    </row>
    <row r="26" spans="1:8" x14ac:dyDescent="0.25">
      <c r="A26" s="201"/>
      <c r="B26" s="201" t="s">
        <v>39</v>
      </c>
      <c r="C26" s="202">
        <f>'NOTAS (2)'!C222</f>
        <v>18317351.57</v>
      </c>
      <c r="D26" s="201"/>
      <c r="E26" s="18">
        <v>20310929.190000001</v>
      </c>
      <c r="F26" s="277">
        <f>C26-E26</f>
        <v>-1993577.620000001</v>
      </c>
      <c r="G26" s="277"/>
    </row>
    <row r="27" spans="1:8" x14ac:dyDescent="0.25">
      <c r="A27" s="201"/>
      <c r="B27" s="201" t="s">
        <v>40</v>
      </c>
      <c r="C27" s="202">
        <v>2324213.4500000002</v>
      </c>
      <c r="D27" s="201"/>
      <c r="E27" s="18">
        <v>2324213.4500000002</v>
      </c>
      <c r="F27" s="277"/>
      <c r="G27" s="277"/>
    </row>
    <row r="28" spans="1:8" x14ac:dyDescent="0.25">
      <c r="A28" s="201"/>
      <c r="B28" s="201" t="s">
        <v>41</v>
      </c>
      <c r="C28" s="202">
        <f>'NOTAS (2)'!C248</f>
        <v>2805637.63</v>
      </c>
      <c r="D28" s="201"/>
      <c r="E28" s="18">
        <v>3954852.16</v>
      </c>
      <c r="F28" s="277">
        <f>C28-E28</f>
        <v>-1149214.5300000003</v>
      </c>
      <c r="G28" s="277"/>
      <c r="H28" s="16"/>
    </row>
    <row r="29" spans="1:8" s="17" customFormat="1" x14ac:dyDescent="0.25">
      <c r="A29" s="203"/>
      <c r="B29" s="203" t="s">
        <v>42</v>
      </c>
      <c r="C29" s="282">
        <f>SUM(C24:C28)</f>
        <v>63820361.580000006</v>
      </c>
      <c r="D29" s="203"/>
      <c r="E29" s="92">
        <f>SUM(E24:E28)</f>
        <v>56437107.870000005</v>
      </c>
      <c r="F29" s="277"/>
      <c r="G29" s="280"/>
    </row>
    <row r="30" spans="1:8" x14ac:dyDescent="0.25">
      <c r="A30" s="201"/>
      <c r="B30" s="201"/>
      <c r="C30" s="201"/>
      <c r="D30" s="201"/>
      <c r="F30" s="205"/>
      <c r="G30" s="201"/>
    </row>
    <row r="31" spans="1:8" s="17" customFormat="1" ht="15.75" thickBot="1" x14ac:dyDescent="0.3">
      <c r="A31" s="203"/>
      <c r="B31" s="203" t="s">
        <v>43</v>
      </c>
      <c r="C31" s="283">
        <f>C19-C29</f>
        <v>55345843.439999975</v>
      </c>
      <c r="D31" s="203"/>
      <c r="E31" s="344">
        <f>+E19-E29</f>
        <v>30916755.439999998</v>
      </c>
      <c r="F31" s="280"/>
      <c r="G31" s="280"/>
    </row>
    <row r="32" spans="1:8" ht="15.75" thickTop="1" x14ac:dyDescent="0.25">
      <c r="A32" s="201"/>
      <c r="B32" s="201"/>
      <c r="C32" s="201"/>
      <c r="D32" s="201"/>
      <c r="E32" s="201"/>
      <c r="F32" s="277"/>
      <c r="G32" s="277"/>
    </row>
    <row r="33" spans="1:7" x14ac:dyDescent="0.25">
      <c r="A33" s="201"/>
      <c r="B33" s="201"/>
      <c r="C33" s="277"/>
      <c r="D33" s="201"/>
      <c r="E33" s="201"/>
      <c r="F33" s="277"/>
      <c r="G33" s="201"/>
    </row>
    <row r="34" spans="1:7" x14ac:dyDescent="0.25">
      <c r="A34" s="201"/>
      <c r="B34" s="201"/>
      <c r="C34" s="277">
        <f>F17-F29</f>
        <v>0</v>
      </c>
      <c r="D34" s="201"/>
      <c r="E34" s="201"/>
      <c r="F34" s="277"/>
      <c r="G34" s="201"/>
    </row>
    <row r="35" spans="1:7" x14ac:dyDescent="0.25">
      <c r="A35" s="201"/>
      <c r="B35" s="201"/>
      <c r="C35" s="426"/>
      <c r="D35" s="420"/>
      <c r="E35" s="420"/>
      <c r="F35" s="420"/>
      <c r="G35" s="420"/>
    </row>
    <row r="36" spans="1:7" x14ac:dyDescent="0.25">
      <c r="A36" s="201"/>
      <c r="B36" s="218"/>
      <c r="C36" s="201"/>
      <c r="D36" s="201"/>
      <c r="E36" s="201"/>
      <c r="F36" s="201"/>
      <c r="G36" s="201"/>
    </row>
    <row r="37" spans="1:7" x14ac:dyDescent="0.25">
      <c r="A37" s="201"/>
      <c r="B37" s="420"/>
      <c r="C37" s="420"/>
      <c r="D37" s="420"/>
      <c r="E37" s="420"/>
      <c r="F37" s="201"/>
      <c r="G37" s="201"/>
    </row>
    <row r="38" spans="1:7" x14ac:dyDescent="0.25">
      <c r="A38" s="201"/>
      <c r="B38" s="420"/>
      <c r="C38" s="420"/>
      <c r="D38" s="420"/>
      <c r="E38" s="420"/>
      <c r="F38" s="420"/>
      <c r="G38" s="201"/>
    </row>
    <row r="39" spans="1:7" x14ac:dyDescent="0.25">
      <c r="A39" s="201"/>
      <c r="B39" s="201"/>
      <c r="C39" s="218"/>
      <c r="D39" s="203"/>
      <c r="E39" s="203"/>
      <c r="F39" s="201"/>
      <c r="G39" s="201"/>
    </row>
    <row r="40" spans="1:7" x14ac:dyDescent="0.25">
      <c r="A40" s="201"/>
      <c r="B40" s="218" t="s">
        <v>2212</v>
      </c>
      <c r="C40" s="201"/>
      <c r="D40" s="201"/>
      <c r="E40" s="201"/>
      <c r="F40" s="201"/>
      <c r="G40" s="201"/>
    </row>
    <row r="41" spans="1:7" x14ac:dyDescent="0.25">
      <c r="A41" s="201"/>
      <c r="B41" s="420" t="s">
        <v>2213</v>
      </c>
      <c r="C41" s="420"/>
      <c r="D41" s="420"/>
      <c r="E41" s="420"/>
      <c r="F41" s="201"/>
      <c r="G41" s="201"/>
    </row>
    <row r="42" spans="1:7" x14ac:dyDescent="0.25">
      <c r="A42" s="201"/>
      <c r="B42" s="275" t="s">
        <v>7</v>
      </c>
      <c r="C42" s="417" t="s">
        <v>7</v>
      </c>
      <c r="D42" s="417"/>
      <c r="E42" s="417"/>
      <c r="F42" s="201"/>
      <c r="G42" s="201"/>
    </row>
    <row r="43" spans="1:7" x14ac:dyDescent="0.25">
      <c r="A43" s="201"/>
      <c r="B43" s="201"/>
      <c r="C43" s="420"/>
      <c r="D43" s="420"/>
      <c r="E43" s="420"/>
      <c r="F43" s="420"/>
      <c r="G43" s="420"/>
    </row>
    <row r="44" spans="1:7" x14ac:dyDescent="0.25">
      <c r="A44" s="201"/>
      <c r="B44" s="203"/>
      <c r="C44" s="218"/>
      <c r="D44" s="201"/>
      <c r="E44" s="201"/>
      <c r="F44" s="201"/>
      <c r="G44" s="201"/>
    </row>
    <row r="45" spans="1:7" x14ac:dyDescent="0.25">
      <c r="A45" s="201"/>
      <c r="B45" s="203"/>
      <c r="C45" s="218"/>
      <c r="D45" s="201"/>
      <c r="E45" s="201"/>
      <c r="F45" s="201"/>
      <c r="G45" s="201"/>
    </row>
    <row r="46" spans="1:7" x14ac:dyDescent="0.25">
      <c r="A46" s="201"/>
      <c r="B46" s="201"/>
      <c r="C46" s="201"/>
      <c r="D46" s="201"/>
      <c r="E46" s="201"/>
      <c r="F46" s="201"/>
      <c r="G46" s="201"/>
    </row>
    <row r="47" spans="1:7" x14ac:dyDescent="0.25">
      <c r="A47" s="201"/>
      <c r="B47" s="201"/>
      <c r="C47" s="201"/>
      <c r="D47" s="201"/>
      <c r="E47" s="201"/>
      <c r="F47" s="201"/>
      <c r="G47" s="201"/>
    </row>
    <row r="48" spans="1:7" x14ac:dyDescent="0.25">
      <c r="A48" s="201"/>
      <c r="B48" s="203" t="s">
        <v>2210</v>
      </c>
      <c r="C48" s="218" t="s">
        <v>2215</v>
      </c>
      <c r="D48" s="201"/>
      <c r="E48" s="201"/>
      <c r="F48" s="201"/>
      <c r="G48" s="201"/>
    </row>
    <row r="49" spans="1:7" x14ac:dyDescent="0.25">
      <c r="A49" s="201"/>
      <c r="B49" s="203" t="s">
        <v>982</v>
      </c>
      <c r="C49" s="218" t="s">
        <v>44</v>
      </c>
      <c r="D49" s="201"/>
      <c r="E49" s="201"/>
      <c r="F49" s="201"/>
      <c r="G49" s="201"/>
    </row>
    <row r="50" spans="1:7" x14ac:dyDescent="0.25">
      <c r="A50" s="201"/>
      <c r="B50" s="201"/>
      <c r="C50" s="201"/>
      <c r="D50" s="201"/>
      <c r="E50" s="201"/>
      <c r="F50" s="201"/>
      <c r="G50" s="201"/>
    </row>
    <row r="51" spans="1:7" x14ac:dyDescent="0.25">
      <c r="A51" s="201"/>
      <c r="B51" s="201"/>
      <c r="C51" s="201"/>
      <c r="D51" s="201"/>
      <c r="E51" s="201"/>
      <c r="F51" s="201"/>
      <c r="G51" s="201"/>
    </row>
    <row r="52" spans="1:7" x14ac:dyDescent="0.25">
      <c r="A52" s="201"/>
      <c r="B52" s="201"/>
      <c r="C52" s="201"/>
      <c r="D52" s="201"/>
      <c r="E52" s="201"/>
      <c r="F52" s="201"/>
      <c r="G52" s="201"/>
    </row>
    <row r="53" spans="1:7" x14ac:dyDescent="0.25">
      <c r="A53" s="201"/>
      <c r="B53" s="201"/>
      <c r="C53" s="201"/>
      <c r="D53" s="201"/>
      <c r="E53" s="201"/>
      <c r="F53" s="201"/>
      <c r="G53" s="201"/>
    </row>
    <row r="54" spans="1:7" x14ac:dyDescent="0.25">
      <c r="A54" s="201"/>
      <c r="B54" s="201"/>
      <c r="C54" s="201"/>
      <c r="D54" s="201"/>
      <c r="E54" s="201"/>
      <c r="F54" s="201"/>
      <c r="G54" s="201"/>
    </row>
    <row r="55" spans="1:7" x14ac:dyDescent="0.25">
      <c r="A55" s="201"/>
      <c r="B55" s="201"/>
      <c r="C55" s="201"/>
      <c r="D55" s="201"/>
      <c r="E55" s="201"/>
      <c r="F55" s="201"/>
      <c r="G55" s="201"/>
    </row>
    <row r="56" spans="1:7" x14ac:dyDescent="0.25">
      <c r="A56" s="201"/>
      <c r="B56" s="201"/>
      <c r="C56" s="201"/>
      <c r="D56" s="201"/>
      <c r="E56" s="201"/>
      <c r="F56" s="201"/>
      <c r="G56" s="201"/>
    </row>
  </sheetData>
  <mergeCells count="15">
    <mergeCell ref="C43:G43"/>
    <mergeCell ref="C42:E42"/>
    <mergeCell ref="B1:E1"/>
    <mergeCell ref="B8:E8"/>
    <mergeCell ref="B9:E9"/>
    <mergeCell ref="B10:E10"/>
    <mergeCell ref="B12:E12"/>
    <mergeCell ref="B14:E14"/>
    <mergeCell ref="B3:E3"/>
    <mergeCell ref="B2:E2"/>
    <mergeCell ref="B37:E37"/>
    <mergeCell ref="B11:F11"/>
    <mergeCell ref="C35:G35"/>
    <mergeCell ref="B38:F38"/>
    <mergeCell ref="B41:E41"/>
  </mergeCells>
  <pageMargins left="1.25" right="0" top="1.25" bottom="0" header="0.3" footer="0.3"/>
  <pageSetup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2"/>
  <sheetViews>
    <sheetView topLeftCell="A3" workbookViewId="0">
      <selection activeCell="G31" sqref="G31"/>
    </sheetView>
  </sheetViews>
  <sheetFormatPr baseColWidth="10" defaultColWidth="11.42578125" defaultRowHeight="15" x14ac:dyDescent="0.25"/>
  <cols>
    <col min="1" max="1" width="28.5703125" customWidth="1"/>
    <col min="2" max="2" width="12.140625" customWidth="1"/>
    <col min="3" max="3" width="15.85546875" customWidth="1"/>
    <col min="4" max="4" width="18.7109375" customWidth="1"/>
    <col min="5" max="5" width="15.42578125" customWidth="1"/>
    <col min="6" max="6" width="20.28515625" bestFit="1" customWidth="1"/>
    <col min="7" max="7" width="15.85546875" customWidth="1"/>
    <col min="8" max="8" width="16.85546875" bestFit="1" customWidth="1"/>
    <col min="9" max="9" width="18.140625" bestFit="1" customWidth="1"/>
    <col min="11" max="11" width="16.85546875" bestFit="1" customWidth="1"/>
    <col min="12" max="12" width="14.140625" bestFit="1" customWidth="1"/>
    <col min="14" max="14" width="15.140625" bestFit="1" customWidth="1"/>
  </cols>
  <sheetData>
    <row r="1" spans="1:9" x14ac:dyDescent="0.25">
      <c r="A1" s="428" t="s">
        <v>0</v>
      </c>
      <c r="B1" s="428"/>
      <c r="C1" s="428"/>
      <c r="D1" s="428"/>
      <c r="E1" s="428"/>
      <c r="F1" s="428"/>
      <c r="G1" s="428"/>
    </row>
    <row r="2" spans="1:9" x14ac:dyDescent="0.25">
      <c r="A2" s="428" t="s">
        <v>1</v>
      </c>
      <c r="B2" s="428"/>
      <c r="C2" s="428"/>
      <c r="D2" s="428"/>
      <c r="E2" s="428"/>
      <c r="F2" s="428"/>
      <c r="G2" s="428"/>
    </row>
    <row r="3" spans="1:9" x14ac:dyDescent="0.25">
      <c r="A3" s="428" t="s">
        <v>2</v>
      </c>
      <c r="B3" s="428"/>
      <c r="C3" s="428"/>
      <c r="D3" s="428"/>
      <c r="E3" s="428"/>
      <c r="F3" s="428"/>
      <c r="G3" s="428"/>
    </row>
    <row r="4" spans="1:9" x14ac:dyDescent="0.25">
      <c r="A4" s="73"/>
      <c r="B4" s="73"/>
      <c r="C4" s="73"/>
      <c r="D4" s="73"/>
      <c r="E4" s="73"/>
      <c r="F4" s="73"/>
      <c r="G4" s="73"/>
    </row>
    <row r="5" spans="1:9" x14ac:dyDescent="0.25">
      <c r="A5" s="73"/>
      <c r="B5" s="73"/>
      <c r="C5" s="73"/>
      <c r="D5" s="73"/>
      <c r="E5" s="73"/>
      <c r="F5" s="73"/>
      <c r="G5" s="73"/>
    </row>
    <row r="6" spans="1:9" x14ac:dyDescent="0.25">
      <c r="A6" s="73"/>
      <c r="B6" s="73"/>
      <c r="C6" s="73"/>
      <c r="D6" s="73"/>
      <c r="E6" s="73"/>
      <c r="F6" s="73"/>
      <c r="G6" s="73"/>
    </row>
    <row r="7" spans="1:9" x14ac:dyDescent="0.25">
      <c r="A7" s="73"/>
      <c r="B7" s="73"/>
      <c r="C7" s="73"/>
      <c r="D7" s="73"/>
      <c r="E7" s="73"/>
      <c r="F7" s="73"/>
      <c r="G7" s="73"/>
    </row>
    <row r="8" spans="1:9" x14ac:dyDescent="0.25">
      <c r="A8" s="429"/>
      <c r="B8" s="429"/>
      <c r="C8" s="429"/>
      <c r="D8" s="429"/>
      <c r="E8" s="429"/>
      <c r="F8" s="429"/>
      <c r="G8" s="429"/>
    </row>
    <row r="9" spans="1:9" x14ac:dyDescent="0.25">
      <c r="A9" s="428" t="s">
        <v>45</v>
      </c>
      <c r="B9" s="428"/>
      <c r="C9" s="428"/>
      <c r="D9" s="428"/>
      <c r="E9" s="428"/>
      <c r="F9" s="428"/>
      <c r="G9" s="428"/>
    </row>
    <row r="10" spans="1:9" x14ac:dyDescent="0.25">
      <c r="A10" s="428" t="s">
        <v>2431</v>
      </c>
      <c r="B10" s="428"/>
      <c r="C10" s="428"/>
      <c r="D10" s="428"/>
      <c r="E10" s="428"/>
      <c r="F10" s="428"/>
      <c r="G10" s="428"/>
    </row>
    <row r="11" spans="1:9" x14ac:dyDescent="0.25">
      <c r="A11" s="428" t="s">
        <v>2432</v>
      </c>
      <c r="B11" s="428"/>
      <c r="C11" s="428"/>
      <c r="D11" s="428"/>
      <c r="E11" s="428"/>
      <c r="F11" s="428"/>
      <c r="G11" s="428"/>
    </row>
    <row r="12" spans="1:9" x14ac:dyDescent="0.25">
      <c r="A12" s="427"/>
      <c r="B12" s="427"/>
      <c r="C12" s="427"/>
      <c r="D12" s="427"/>
      <c r="E12" s="427"/>
      <c r="F12" s="427"/>
    </row>
    <row r="16" spans="1:9" s="4" customFormat="1" ht="45" x14ac:dyDescent="0.25">
      <c r="C16" s="4" t="s">
        <v>46</v>
      </c>
      <c r="D16" s="4" t="s">
        <v>47</v>
      </c>
      <c r="E16" s="4" t="s">
        <v>48</v>
      </c>
      <c r="F16" s="4" t="s">
        <v>49</v>
      </c>
      <c r="G16" s="4" t="s">
        <v>50</v>
      </c>
      <c r="I16" s="4" t="s">
        <v>7</v>
      </c>
    </row>
    <row r="17" spans="1:14" x14ac:dyDescent="0.25">
      <c r="A17" s="17" t="s">
        <v>2536</v>
      </c>
      <c r="C17" s="97">
        <f>'[1]EST. CAMBIO'!$C$20</f>
        <v>534638142.77999997</v>
      </c>
      <c r="D17" s="97">
        <v>0</v>
      </c>
      <c r="E17" s="97">
        <v>0</v>
      </c>
      <c r="F17" s="112">
        <v>-129597645.56</v>
      </c>
      <c r="G17" s="97">
        <f>SUM(C17:F17)</f>
        <v>405040497.21999997</v>
      </c>
      <c r="H17" s="16"/>
      <c r="I17" s="18" t="s">
        <v>7</v>
      </c>
      <c r="K17" s="18" t="s">
        <v>7</v>
      </c>
    </row>
    <row r="18" spans="1:14" x14ac:dyDescent="0.25">
      <c r="A18" t="s">
        <v>51</v>
      </c>
      <c r="C18" s="82"/>
      <c r="D18" s="82"/>
      <c r="E18" s="82"/>
      <c r="F18" s="347">
        <v>-111340622.64</v>
      </c>
      <c r="G18" s="82">
        <f>SUM(C18:F18)</f>
        <v>-111340622.64</v>
      </c>
      <c r="I18" s="84"/>
      <c r="K18" s="76"/>
      <c r="N18" s="18"/>
    </row>
    <row r="19" spans="1:14" x14ac:dyDescent="0.25">
      <c r="A19" t="s">
        <v>52</v>
      </c>
      <c r="C19" s="129"/>
      <c r="D19" s="129"/>
      <c r="E19" s="129"/>
      <c r="F19" s="348">
        <v>13700964.25</v>
      </c>
      <c r="G19" s="129">
        <f>SUM(C19:F19)</f>
        <v>13700964.25</v>
      </c>
      <c r="I19" s="18"/>
      <c r="K19" s="83"/>
      <c r="L19" s="70"/>
      <c r="N19" s="18"/>
    </row>
    <row r="20" spans="1:14" x14ac:dyDescent="0.25">
      <c r="A20" s="17" t="s">
        <v>2224</v>
      </c>
      <c r="C20" s="97">
        <f>SUM(C17:C19)</f>
        <v>534638142.77999997</v>
      </c>
      <c r="D20" s="97">
        <f>SUM(D17:D19)</f>
        <v>0</v>
      </c>
      <c r="E20" s="97">
        <f>SUM(E17:E19)</f>
        <v>0</v>
      </c>
      <c r="F20" s="97">
        <f>F17+F18+F19</f>
        <v>-227237303.94999999</v>
      </c>
      <c r="G20" s="97">
        <f>SUM(G17:G19)</f>
        <v>307400838.82999998</v>
      </c>
      <c r="I20" s="84"/>
      <c r="K20" s="71"/>
      <c r="N20" s="18"/>
    </row>
    <row r="21" spans="1:14" x14ac:dyDescent="0.25">
      <c r="A21" t="s">
        <v>53</v>
      </c>
      <c r="C21" s="97"/>
      <c r="D21" s="97"/>
      <c r="E21" s="97"/>
      <c r="F21" s="97">
        <v>0</v>
      </c>
      <c r="G21" s="18">
        <f>SUM(C21:F21)</f>
        <v>0</v>
      </c>
      <c r="I21" s="84"/>
      <c r="K21" s="71"/>
      <c r="N21" s="18"/>
    </row>
    <row r="22" spans="1:14" x14ac:dyDescent="0.25">
      <c r="A22" t="s">
        <v>51</v>
      </c>
      <c r="C22" s="18"/>
      <c r="D22" s="18"/>
      <c r="E22" s="18"/>
      <c r="F22" s="173">
        <v>-31418561.109999999</v>
      </c>
      <c r="G22" s="18">
        <f>SUM(C22:F22)</f>
        <v>-31418561.109999999</v>
      </c>
      <c r="I22" s="84"/>
      <c r="K22" s="71"/>
      <c r="N22" s="18"/>
    </row>
    <row r="23" spans="1:14" x14ac:dyDescent="0.25">
      <c r="A23" t="s">
        <v>52</v>
      </c>
      <c r="C23" s="18"/>
      <c r="D23" s="18"/>
      <c r="E23" s="18"/>
      <c r="F23" s="18">
        <f>'ESTADO DE REND.'!C31</f>
        <v>55345843.439999975</v>
      </c>
      <c r="G23" s="18">
        <f>SUM(C23:F23)</f>
        <v>55345843.439999975</v>
      </c>
      <c r="H23" s="14"/>
      <c r="I23" s="16"/>
      <c r="K23" s="83"/>
      <c r="N23" s="18"/>
    </row>
    <row r="24" spans="1:14" ht="15.75" thickBot="1" x14ac:dyDescent="0.3">
      <c r="A24" s="17" t="s">
        <v>2547</v>
      </c>
      <c r="C24" s="62">
        <f>SUM(C19:C23)</f>
        <v>534638142.77999997</v>
      </c>
      <c r="D24" s="62"/>
      <c r="E24" s="62"/>
      <c r="F24" s="62">
        <f>SUM(F20:F23)</f>
        <v>-203310021.62000003</v>
      </c>
      <c r="G24" s="62">
        <f>SUM(G20:G23)</f>
        <v>331328121.15999997</v>
      </c>
      <c r="I24" s="16"/>
      <c r="K24" s="71"/>
      <c r="L24" s="16"/>
      <c r="N24" s="67"/>
    </row>
    <row r="25" spans="1:14" ht="15.75" thickTop="1" x14ac:dyDescent="0.25">
      <c r="A25" s="17"/>
      <c r="C25" s="97"/>
      <c r="D25" s="97">
        <f>SUM(D19:D24)</f>
        <v>0</v>
      </c>
      <c r="E25" s="97">
        <f>SUM(E19:E24)</f>
        <v>0</v>
      </c>
      <c r="F25" s="97"/>
      <c r="G25" s="97"/>
      <c r="I25" s="16"/>
      <c r="K25" s="83"/>
      <c r="N25" s="18"/>
    </row>
    <row r="26" spans="1:14" x14ac:dyDescent="0.25">
      <c r="C26" s="18"/>
      <c r="D26" s="18"/>
      <c r="E26" s="97"/>
      <c r="F26" s="18"/>
      <c r="G26" s="18"/>
      <c r="I26" s="16"/>
      <c r="K26" s="16"/>
      <c r="N26" s="18"/>
    </row>
    <row r="27" spans="1:14" x14ac:dyDescent="0.25">
      <c r="C27" s="18" t="s">
        <v>7</v>
      </c>
      <c r="D27" s="18" t="s">
        <v>7</v>
      </c>
      <c r="E27" s="97" t="s">
        <v>7</v>
      </c>
      <c r="F27" s="18" t="s">
        <v>7</v>
      </c>
      <c r="G27" s="18"/>
      <c r="H27" s="82" t="s">
        <v>7</v>
      </c>
      <c r="I27" s="84"/>
      <c r="K27" s="84"/>
      <c r="N27" s="18"/>
    </row>
    <row r="28" spans="1:14" x14ac:dyDescent="0.25">
      <c r="C28" s="18"/>
      <c r="D28" s="18"/>
      <c r="E28" s="97" t="s">
        <v>7</v>
      </c>
      <c r="F28" s="18"/>
      <c r="G28" s="18"/>
      <c r="H28" s="82" t="s">
        <v>7</v>
      </c>
      <c r="I28" s="70"/>
      <c r="K28" s="16">
        <f>I24-K24</f>
        <v>0</v>
      </c>
      <c r="L28" t="s">
        <v>7</v>
      </c>
      <c r="N28" s="18"/>
    </row>
    <row r="29" spans="1:14" x14ac:dyDescent="0.25">
      <c r="C29" s="18"/>
      <c r="D29" s="18" t="s">
        <v>7</v>
      </c>
      <c r="E29" s="97"/>
      <c r="F29" s="18"/>
      <c r="G29" s="18" t="s">
        <v>7</v>
      </c>
      <c r="H29" s="18" t="s">
        <v>7</v>
      </c>
      <c r="I29" s="18"/>
      <c r="L29" t="s">
        <v>7</v>
      </c>
    </row>
    <row r="30" spans="1:14" x14ac:dyDescent="0.25">
      <c r="C30" s="18"/>
      <c r="D30" s="18"/>
      <c r="E30" s="18" t="s">
        <v>7</v>
      </c>
      <c r="F30" s="18"/>
      <c r="G30" s="18" t="s">
        <v>7</v>
      </c>
      <c r="H30" s="84" t="s">
        <v>7</v>
      </c>
      <c r="I30" s="84"/>
      <c r="K30" s="16">
        <f>K28+K24</f>
        <v>0</v>
      </c>
    </row>
    <row r="31" spans="1:14" x14ac:dyDescent="0.25">
      <c r="C31" s="218"/>
      <c r="D31" s="18"/>
      <c r="E31" s="18"/>
      <c r="F31" s="18"/>
      <c r="G31" s="18" t="s">
        <v>7</v>
      </c>
      <c r="H31" s="18" t="s">
        <v>7</v>
      </c>
      <c r="I31" s="84" t="s">
        <v>7</v>
      </c>
    </row>
    <row r="32" spans="1:14" x14ac:dyDescent="0.25">
      <c r="B32" s="430"/>
      <c r="C32" s="430"/>
      <c r="D32" s="430"/>
      <c r="E32" s="430"/>
      <c r="F32" s="420"/>
      <c r="G32" s="420"/>
      <c r="H32" s="420"/>
      <c r="I32" s="420"/>
      <c r="J32" s="420"/>
    </row>
    <row r="33" spans="1:9" x14ac:dyDescent="0.25">
      <c r="D33" s="17"/>
      <c r="F33" s="203" t="s">
        <v>7</v>
      </c>
      <c r="G33" s="84" t="s">
        <v>7</v>
      </c>
      <c r="H33" s="18" t="s">
        <v>7</v>
      </c>
      <c r="I33" s="70"/>
    </row>
    <row r="34" spans="1:9" x14ac:dyDescent="0.25">
      <c r="C34" s="18"/>
      <c r="D34" s="18" t="s">
        <v>7</v>
      </c>
      <c r="E34" s="97"/>
      <c r="F34" s="18"/>
      <c r="G34" s="18" t="s">
        <v>7</v>
      </c>
      <c r="H34" s="18" t="s">
        <v>7</v>
      </c>
      <c r="I34" s="70"/>
    </row>
    <row r="35" spans="1:9" x14ac:dyDescent="0.25">
      <c r="C35" s="17" t="s">
        <v>2218</v>
      </c>
      <c r="D35" s="17"/>
      <c r="F35" s="203" t="s">
        <v>7</v>
      </c>
      <c r="G35" s="84" t="s">
        <v>7</v>
      </c>
      <c r="H35" s="18" t="s">
        <v>7</v>
      </c>
      <c r="I35" t="s">
        <v>7</v>
      </c>
    </row>
    <row r="36" spans="1:9" x14ac:dyDescent="0.25">
      <c r="C36" s="17" t="s">
        <v>2219</v>
      </c>
      <c r="H36" s="84" t="s">
        <v>7</v>
      </c>
      <c r="I36" t="s">
        <v>7</v>
      </c>
    </row>
    <row r="37" spans="1:9" x14ac:dyDescent="0.25">
      <c r="D37" s="67"/>
      <c r="H37" t="s">
        <v>7</v>
      </c>
    </row>
    <row r="38" spans="1:9" x14ac:dyDescent="0.25">
      <c r="A38" s="203"/>
      <c r="E38" s="67"/>
      <c r="G38" s="16" t="s">
        <v>56</v>
      </c>
      <c r="H38" s="18" t="s">
        <v>7</v>
      </c>
    </row>
    <row r="39" spans="1:9" x14ac:dyDescent="0.25">
      <c r="A39" s="430"/>
      <c r="B39" s="430"/>
      <c r="C39" s="430"/>
      <c r="D39" s="431"/>
      <c r="E39" s="431"/>
      <c r="F39" s="431"/>
      <c r="G39" s="431"/>
      <c r="H39" t="s">
        <v>57</v>
      </c>
    </row>
    <row r="40" spans="1:9" x14ac:dyDescent="0.25">
      <c r="A40" s="431" t="s">
        <v>7</v>
      </c>
      <c r="B40" s="431"/>
      <c r="C40" s="431"/>
      <c r="D40" s="431" t="s">
        <v>7</v>
      </c>
      <c r="E40" s="431"/>
      <c r="F40" s="431"/>
      <c r="G40" s="431"/>
      <c r="H40" t="s">
        <v>7</v>
      </c>
    </row>
    <row r="41" spans="1:9" x14ac:dyDescent="0.25">
      <c r="G41" t="s">
        <v>7</v>
      </c>
    </row>
    <row r="43" spans="1:9" x14ac:dyDescent="0.25">
      <c r="A43" s="203" t="s">
        <v>2210</v>
      </c>
      <c r="E43" s="67" t="s">
        <v>2216</v>
      </c>
      <c r="G43" t="s">
        <v>1925</v>
      </c>
    </row>
    <row r="44" spans="1:9" x14ac:dyDescent="0.25">
      <c r="A44" s="430" t="s">
        <v>982</v>
      </c>
      <c r="B44" s="430"/>
      <c r="C44" s="430"/>
      <c r="E44" s="430" t="s">
        <v>2217</v>
      </c>
      <c r="F44" s="430"/>
      <c r="G44" s="430"/>
      <c r="H44" s="430"/>
    </row>
    <row r="45" spans="1:9" x14ac:dyDescent="0.25">
      <c r="G45" t="s">
        <v>7</v>
      </c>
    </row>
    <row r="46" spans="1:9" x14ac:dyDescent="0.25">
      <c r="A46" s="73"/>
      <c r="B46" s="73"/>
      <c r="C46" s="73"/>
      <c r="D46" s="73"/>
      <c r="E46" s="73"/>
      <c r="F46" s="73"/>
      <c r="G46" s="73"/>
    </row>
    <row r="47" spans="1:9" x14ac:dyDescent="0.25">
      <c r="A47" s="73"/>
      <c r="B47" s="73"/>
      <c r="C47" s="73"/>
      <c r="D47" s="73"/>
      <c r="E47" s="73"/>
      <c r="F47" s="73"/>
      <c r="G47" s="73"/>
    </row>
    <row r="48" spans="1:9" x14ac:dyDescent="0.25">
      <c r="A48" s="73"/>
      <c r="B48" s="73" t="s">
        <v>57</v>
      </c>
      <c r="C48" s="73"/>
      <c r="D48" s="73"/>
      <c r="E48" s="73"/>
      <c r="F48" s="73"/>
      <c r="G48" s="73"/>
    </row>
    <row r="49" spans="1:9" x14ac:dyDescent="0.25">
      <c r="A49" s="73"/>
      <c r="B49" s="73"/>
      <c r="C49" s="73"/>
      <c r="D49" s="73"/>
      <c r="E49" s="73"/>
      <c r="F49" s="73"/>
      <c r="G49" s="73"/>
    </row>
    <row r="50" spans="1:9" x14ac:dyDescent="0.25">
      <c r="A50" s="429"/>
      <c r="B50" s="429"/>
      <c r="C50" s="429"/>
      <c r="D50" s="429"/>
      <c r="E50" s="429"/>
      <c r="F50" s="429"/>
      <c r="G50" s="429"/>
    </row>
    <row r="51" spans="1:9" x14ac:dyDescent="0.25">
      <c r="A51" s="428"/>
      <c r="B51" s="428"/>
      <c r="C51" s="428"/>
      <c r="D51" s="428"/>
      <c r="E51" s="428"/>
      <c r="F51" s="428"/>
      <c r="G51" s="428"/>
    </row>
    <row r="52" spans="1:9" x14ac:dyDescent="0.25">
      <c r="A52" s="428"/>
      <c r="B52" s="428"/>
      <c r="C52" s="428"/>
      <c r="D52" s="428"/>
      <c r="E52" s="428"/>
      <c r="F52" s="428"/>
      <c r="G52" s="428"/>
    </row>
    <row r="53" spans="1:9" x14ac:dyDescent="0.25">
      <c r="A53" s="428"/>
      <c r="B53" s="428"/>
      <c r="C53" s="428"/>
      <c r="D53" s="428"/>
      <c r="E53" s="428"/>
      <c r="F53" s="428"/>
      <c r="G53" s="428"/>
    </row>
    <row r="55" spans="1:9" x14ac:dyDescent="0.25">
      <c r="A55" s="4"/>
      <c r="B55" s="4"/>
      <c r="C55" s="4"/>
      <c r="D55" s="4"/>
      <c r="E55" s="4"/>
      <c r="F55" s="4"/>
      <c r="G55" s="4"/>
    </row>
    <row r="56" spans="1:9" x14ac:dyDescent="0.25">
      <c r="A56" s="17"/>
      <c r="C56" s="111"/>
      <c r="D56" s="111"/>
      <c r="E56" s="111"/>
      <c r="F56" s="111"/>
      <c r="G56" s="111"/>
    </row>
    <row r="57" spans="1:9" x14ac:dyDescent="0.25">
      <c r="C57" s="64"/>
      <c r="D57" s="64"/>
      <c r="E57" s="64"/>
      <c r="F57" s="64"/>
      <c r="G57" s="64"/>
    </row>
    <row r="58" spans="1:9" x14ac:dyDescent="0.25">
      <c r="C58" s="132"/>
      <c r="D58" s="132"/>
      <c r="E58" s="132"/>
      <c r="F58" s="132"/>
      <c r="G58" s="132"/>
    </row>
    <row r="59" spans="1:9" x14ac:dyDescent="0.25">
      <c r="A59" s="179"/>
      <c r="C59" s="112"/>
      <c r="D59" s="112"/>
      <c r="E59" s="112"/>
      <c r="F59" s="112"/>
      <c r="G59" s="112"/>
    </row>
    <row r="60" spans="1:9" x14ac:dyDescent="0.25">
      <c r="A60" s="180"/>
      <c r="C60" s="112"/>
      <c r="D60" s="112"/>
      <c r="E60" s="112"/>
      <c r="F60" s="112"/>
      <c r="G60" s="112"/>
    </row>
    <row r="61" spans="1:9" x14ac:dyDescent="0.25">
      <c r="A61" s="17"/>
      <c r="C61" s="112"/>
      <c r="D61" s="112"/>
      <c r="E61" s="112"/>
      <c r="F61" s="112"/>
      <c r="G61" s="112"/>
    </row>
    <row r="62" spans="1:9" x14ac:dyDescent="0.25">
      <c r="C62" s="132"/>
      <c r="D62" s="132"/>
      <c r="E62" s="132"/>
      <c r="F62" s="132"/>
      <c r="G62" s="132"/>
      <c r="H62" s="64"/>
    </row>
    <row r="63" spans="1:9" x14ac:dyDescent="0.25">
      <c r="C63" s="132"/>
      <c r="D63" s="132"/>
      <c r="E63" s="132"/>
      <c r="F63" s="132"/>
      <c r="G63" s="132"/>
      <c r="I63" s="16"/>
    </row>
    <row r="64" spans="1:9" x14ac:dyDescent="0.25">
      <c r="A64" s="17"/>
      <c r="C64" s="112"/>
      <c r="D64" s="112"/>
      <c r="E64" s="112"/>
      <c r="F64" s="112"/>
      <c r="G64" s="112"/>
    </row>
    <row r="66" spans="1:8" x14ac:dyDescent="0.25">
      <c r="H66" s="64"/>
    </row>
    <row r="67" spans="1:8" x14ac:dyDescent="0.25">
      <c r="F67" s="64"/>
    </row>
    <row r="68" spans="1:8" x14ac:dyDescent="0.25">
      <c r="H68" s="181"/>
    </row>
    <row r="69" spans="1:8" x14ac:dyDescent="0.25">
      <c r="H69" s="112"/>
    </row>
    <row r="70" spans="1:8" x14ac:dyDescent="0.25">
      <c r="G70" s="16"/>
      <c r="H70" s="16"/>
    </row>
    <row r="71" spans="1:8" x14ac:dyDescent="0.25">
      <c r="A71" s="431"/>
      <c r="B71" s="431"/>
      <c r="C71" s="431"/>
      <c r="D71" s="431"/>
      <c r="E71" s="431"/>
      <c r="F71" s="431"/>
      <c r="G71" s="431"/>
    </row>
    <row r="72" spans="1:8" x14ac:dyDescent="0.25">
      <c r="A72" s="431"/>
      <c r="B72" s="431"/>
      <c r="C72" s="431"/>
      <c r="D72" s="431"/>
      <c r="E72" s="431"/>
      <c r="F72" s="431"/>
      <c r="G72" s="431"/>
    </row>
  </sheetData>
  <mergeCells count="24">
    <mergeCell ref="A71:C71"/>
    <mergeCell ref="D71:G71"/>
    <mergeCell ref="A72:C72"/>
    <mergeCell ref="D72:G72"/>
    <mergeCell ref="A51:G51"/>
    <mergeCell ref="A44:C44"/>
    <mergeCell ref="E44:H44"/>
    <mergeCell ref="A52:G52"/>
    <mergeCell ref="A53:G53"/>
    <mergeCell ref="A39:C39"/>
    <mergeCell ref="A40:C40"/>
    <mergeCell ref="D39:G39"/>
    <mergeCell ref="D40:G40"/>
    <mergeCell ref="A50:G50"/>
    <mergeCell ref="F32:J32"/>
    <mergeCell ref="A12:F12"/>
    <mergeCell ref="A1:G1"/>
    <mergeCell ref="A2:G2"/>
    <mergeCell ref="A3:G3"/>
    <mergeCell ref="A8:G8"/>
    <mergeCell ref="A9:G9"/>
    <mergeCell ref="A10:G10"/>
    <mergeCell ref="A11:G11"/>
    <mergeCell ref="B32:E32"/>
  </mergeCells>
  <pageMargins left="0.7" right="0.7" top="1.75" bottom="1.25" header="0.3" footer="0.3"/>
  <pageSetup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workbookViewId="0">
      <selection activeCell="F17" sqref="F17"/>
    </sheetView>
  </sheetViews>
  <sheetFormatPr baseColWidth="10" defaultColWidth="11.42578125" defaultRowHeight="15" x14ac:dyDescent="0.25"/>
  <cols>
    <col min="1" max="1" width="8.85546875" customWidth="1"/>
    <col min="2" max="2" width="64.140625" customWidth="1"/>
    <col min="3" max="3" width="22.5703125" style="18" customWidth="1"/>
    <col min="4" max="4" width="21.28515625" customWidth="1"/>
    <col min="5" max="5" width="15.85546875" bestFit="1" customWidth="1"/>
    <col min="6" max="6" width="15.85546875" style="18" bestFit="1" customWidth="1"/>
    <col min="7" max="8" width="16.7109375" bestFit="1" customWidth="1"/>
    <col min="10" max="10" width="15.85546875" customWidth="1"/>
  </cols>
  <sheetData>
    <row r="1" spans="1:11" x14ac:dyDescent="0.25">
      <c r="A1" s="423" t="s">
        <v>0</v>
      </c>
      <c r="B1" s="423"/>
      <c r="C1" s="423"/>
      <c r="D1" s="206"/>
      <c r="E1" s="206"/>
      <c r="F1" s="284"/>
      <c r="G1" s="201"/>
    </row>
    <row r="2" spans="1:11" x14ac:dyDescent="0.25">
      <c r="A2" s="423" t="s">
        <v>1</v>
      </c>
      <c r="B2" s="423"/>
      <c r="C2" s="423"/>
      <c r="D2" s="206"/>
      <c r="E2" s="206"/>
      <c r="F2" s="284"/>
      <c r="G2" s="201"/>
    </row>
    <row r="3" spans="1:11" x14ac:dyDescent="0.25">
      <c r="A3" s="423" t="s">
        <v>2</v>
      </c>
      <c r="B3" s="423"/>
      <c r="C3" s="423"/>
      <c r="D3" s="206"/>
      <c r="E3" s="206"/>
      <c r="F3" s="284"/>
      <c r="G3" s="201"/>
    </row>
    <row r="4" spans="1:11" x14ac:dyDescent="0.25">
      <c r="A4" s="183"/>
      <c r="B4" s="183"/>
      <c r="C4" s="183"/>
      <c r="D4" s="206"/>
      <c r="E4" s="206"/>
      <c r="F4" s="284"/>
      <c r="G4" s="201"/>
    </row>
    <row r="5" spans="1:11" x14ac:dyDescent="0.25">
      <c r="A5" s="183"/>
      <c r="B5" s="183"/>
      <c r="C5" s="183"/>
      <c r="D5" s="206"/>
      <c r="E5" s="206"/>
      <c r="F5" s="284"/>
      <c r="G5" s="201"/>
    </row>
    <row r="6" spans="1:11" x14ac:dyDescent="0.25">
      <c r="A6" s="183"/>
      <c r="B6" s="183"/>
      <c r="C6" s="183"/>
      <c r="D6" s="206"/>
      <c r="E6" s="206"/>
      <c r="F6" s="284"/>
      <c r="G6" s="201"/>
    </row>
    <row r="7" spans="1:11" x14ac:dyDescent="0.25">
      <c r="A7" s="183"/>
      <c r="B7" s="183"/>
      <c r="C7" s="183"/>
      <c r="D7" s="206"/>
      <c r="E7" s="206"/>
      <c r="F7" s="284"/>
      <c r="G7" s="201"/>
    </row>
    <row r="8" spans="1:11" x14ac:dyDescent="0.25">
      <c r="A8" s="424"/>
      <c r="B8" s="424"/>
      <c r="C8" s="424"/>
      <c r="D8" s="285"/>
      <c r="E8" s="285"/>
      <c r="F8" s="286"/>
      <c r="G8" s="201"/>
    </row>
    <row r="9" spans="1:11" x14ac:dyDescent="0.25">
      <c r="A9" s="423" t="s">
        <v>58</v>
      </c>
      <c r="B9" s="423"/>
      <c r="C9" s="423"/>
      <c r="D9" s="206"/>
      <c r="E9" s="206"/>
      <c r="F9" s="284"/>
      <c r="G9" s="201"/>
    </row>
    <row r="10" spans="1:11" x14ac:dyDescent="0.25">
      <c r="A10" s="423" t="s">
        <v>2429</v>
      </c>
      <c r="B10" s="423"/>
      <c r="C10" s="423"/>
      <c r="D10" s="206"/>
      <c r="E10" s="206"/>
      <c r="F10" s="284"/>
      <c r="G10" s="201"/>
    </row>
    <row r="11" spans="1:11" x14ac:dyDescent="0.25">
      <c r="A11" s="423" t="s">
        <v>3</v>
      </c>
      <c r="B11" s="423"/>
      <c r="C11" s="423"/>
      <c r="D11" s="206"/>
      <c r="E11" s="206"/>
      <c r="F11" s="284"/>
      <c r="G11" s="201"/>
    </row>
    <row r="12" spans="1:11" x14ac:dyDescent="0.25">
      <c r="A12" s="201"/>
      <c r="B12" s="201"/>
      <c r="C12" s="287"/>
      <c r="D12" s="201"/>
      <c r="E12" s="201"/>
      <c r="F12" s="287"/>
      <c r="G12" s="201"/>
      <c r="J12" s="16"/>
    </row>
    <row r="13" spans="1:11" x14ac:dyDescent="0.25">
      <c r="A13" s="201"/>
      <c r="B13" s="201"/>
      <c r="C13" s="275">
        <v>2024</v>
      </c>
      <c r="D13" s="275">
        <v>2023</v>
      </c>
      <c r="E13" s="275"/>
      <c r="F13" s="287"/>
      <c r="G13" s="201"/>
    </row>
    <row r="14" spans="1:11" x14ac:dyDescent="0.25">
      <c r="A14" s="201"/>
      <c r="B14" s="203" t="s">
        <v>59</v>
      </c>
      <c r="C14" s="287"/>
      <c r="D14" s="201"/>
      <c r="E14" s="201"/>
      <c r="F14" s="287"/>
      <c r="G14" s="287"/>
    </row>
    <row r="15" spans="1:11" x14ac:dyDescent="0.25">
      <c r="A15" s="201"/>
      <c r="B15" s="201" t="s">
        <v>60</v>
      </c>
      <c r="C15" s="277">
        <f>'NOTAS (2)'!G142</f>
        <v>97321885.86999999</v>
      </c>
      <c r="D15" s="82">
        <f>'[2]EST. FLUJO'!C15</f>
        <v>694272620.22000003</v>
      </c>
      <c r="E15" s="287"/>
      <c r="F15" s="287"/>
      <c r="G15" s="277"/>
    </row>
    <row r="16" spans="1:11" x14ac:dyDescent="0.25">
      <c r="A16" s="201"/>
      <c r="B16" s="201" t="s">
        <v>61</v>
      </c>
      <c r="C16" s="277">
        <f>'NOTAS (2)'!G149</f>
        <v>21844319.149999999</v>
      </c>
      <c r="D16" s="82">
        <f>'[2]EST. FLUJO'!C16</f>
        <v>281364610.72000003</v>
      </c>
      <c r="E16" s="287"/>
      <c r="F16" s="287"/>
      <c r="G16" s="277"/>
      <c r="J16" s="16"/>
      <c r="K16" s="16"/>
    </row>
    <row r="17" spans="1:11" x14ac:dyDescent="0.25">
      <c r="A17" s="201"/>
      <c r="B17" s="201" t="s">
        <v>2539</v>
      </c>
      <c r="C17" s="190">
        <v>48261648.409999996</v>
      </c>
      <c r="D17" s="82">
        <f>'[2]EST. FLUJO'!C17</f>
        <v>127972746.93000001</v>
      </c>
      <c r="E17" s="287"/>
      <c r="F17" s="287"/>
      <c r="G17" s="277"/>
      <c r="J17" s="97"/>
      <c r="K17" s="16"/>
    </row>
    <row r="18" spans="1:11" x14ac:dyDescent="0.25">
      <c r="A18" s="201"/>
      <c r="B18" s="201" t="s">
        <v>62</v>
      </c>
      <c r="C18" s="287">
        <f>-'BALANCE GENERAL Y SUS NOTAS'!E23</f>
        <v>0</v>
      </c>
      <c r="D18" s="82">
        <f>'[2]EST. FLUJO'!C18</f>
        <v>-134018138.3</v>
      </c>
      <c r="E18" s="287"/>
      <c r="F18" s="287"/>
      <c r="G18" s="277"/>
      <c r="J18" s="16"/>
    </row>
    <row r="19" spans="1:11" x14ac:dyDescent="0.25">
      <c r="A19" s="201"/>
      <c r="B19" s="201" t="s">
        <v>63</v>
      </c>
      <c r="C19" s="202">
        <f>-'NOTAS (2)'!G161+3883874.9</f>
        <v>-36489284.030000001</v>
      </c>
      <c r="D19" s="82">
        <f>'[2]EST. FLUJO'!C19</f>
        <v>-534965926.54400003</v>
      </c>
      <c r="E19" s="287"/>
      <c r="F19" s="287"/>
      <c r="G19" s="277"/>
      <c r="H19" s="16"/>
      <c r="J19" s="82"/>
      <c r="K19" s="16"/>
    </row>
    <row r="20" spans="1:11" x14ac:dyDescent="0.25">
      <c r="A20" s="201"/>
      <c r="B20" s="201" t="s">
        <v>64</v>
      </c>
      <c r="C20" s="287">
        <f>-'NOTAS (2)'!G197</f>
        <v>-3883874.8999999994</v>
      </c>
      <c r="D20" s="82">
        <f>'[2]EST. FLUJO'!C20</f>
        <v>-46386515.619999997</v>
      </c>
      <c r="E20" s="287"/>
      <c r="F20" s="287"/>
      <c r="G20" s="191"/>
      <c r="J20" s="16"/>
    </row>
    <row r="21" spans="1:11" x14ac:dyDescent="0.25">
      <c r="A21" s="201"/>
      <c r="B21" s="201" t="s">
        <v>65</v>
      </c>
      <c r="C21" s="287">
        <f>-'NOTAS (2)'!G222</f>
        <v>-18317351.57</v>
      </c>
      <c r="D21" s="82">
        <f>'[2]EST. FLUJO'!C21</f>
        <v>-281673390.38</v>
      </c>
      <c r="E21" s="287"/>
      <c r="F21" s="287"/>
      <c r="G21" s="287"/>
      <c r="H21" s="84"/>
      <c r="J21" s="191"/>
      <c r="K21" s="16"/>
    </row>
    <row r="22" spans="1:11" x14ac:dyDescent="0.25">
      <c r="A22" s="201"/>
      <c r="B22" s="201" t="s">
        <v>66</v>
      </c>
      <c r="C22" s="287">
        <f>-'NOTAS (2)'!G248-643722.19</f>
        <v>-3449359.82</v>
      </c>
      <c r="D22" s="82">
        <f>'[2]EST. FLUJO'!C22</f>
        <v>-78917765.030000001</v>
      </c>
      <c r="E22" s="287"/>
      <c r="F22" s="287"/>
      <c r="G22" s="277"/>
      <c r="H22" s="132"/>
      <c r="J22" s="16"/>
    </row>
    <row r="23" spans="1:11" s="17" customFormat="1" x14ac:dyDescent="0.25">
      <c r="A23" s="203"/>
      <c r="B23" s="203" t="s">
        <v>67</v>
      </c>
      <c r="C23" s="288">
        <f>SUM(C15:C22)</f>
        <v>105287983.10999998</v>
      </c>
      <c r="D23" s="97">
        <f>SUM(D15:D22)</f>
        <v>27648241.996000141</v>
      </c>
      <c r="E23" s="287"/>
      <c r="F23" s="287"/>
      <c r="G23" s="277"/>
      <c r="J23" s="97"/>
      <c r="K23" s="16"/>
    </row>
    <row r="24" spans="1:11" x14ac:dyDescent="0.25">
      <c r="A24" s="201"/>
      <c r="B24" s="201"/>
      <c r="C24" s="287"/>
      <c r="D24" s="82"/>
      <c r="E24" s="287"/>
      <c r="F24" s="287"/>
      <c r="G24" s="277"/>
      <c r="J24" s="16"/>
    </row>
    <row r="25" spans="1:11" x14ac:dyDescent="0.25">
      <c r="A25" s="201"/>
      <c r="B25" s="203" t="s">
        <v>68</v>
      </c>
      <c r="C25" s="287"/>
      <c r="D25" s="82"/>
      <c r="E25" s="287"/>
      <c r="F25" s="287"/>
      <c r="G25" s="277"/>
      <c r="J25" s="82"/>
      <c r="K25" s="16"/>
    </row>
    <row r="26" spans="1:11" x14ac:dyDescent="0.25">
      <c r="A26" s="201"/>
      <c r="B26" s="201" t="s">
        <v>69</v>
      </c>
      <c r="C26" s="287">
        <v>0</v>
      </c>
      <c r="D26" s="132">
        <v>-31671994.109999999</v>
      </c>
      <c r="E26" s="287"/>
      <c r="F26" s="287"/>
      <c r="G26" s="287"/>
      <c r="J26" s="16"/>
    </row>
    <row r="27" spans="1:11" x14ac:dyDescent="0.25">
      <c r="A27" s="201"/>
      <c r="B27" s="201" t="s">
        <v>70</v>
      </c>
      <c r="C27" s="287"/>
      <c r="D27" s="132"/>
      <c r="E27" s="287"/>
      <c r="F27" s="287"/>
      <c r="G27" s="277"/>
      <c r="J27" s="82"/>
    </row>
    <row r="28" spans="1:11" x14ac:dyDescent="0.25">
      <c r="A28" s="201"/>
      <c r="B28" s="201" t="s">
        <v>71</v>
      </c>
      <c r="C28" s="287">
        <v>0</v>
      </c>
      <c r="D28" s="132">
        <v>0</v>
      </c>
      <c r="E28" s="287"/>
      <c r="F28" s="287"/>
      <c r="G28" s="277"/>
      <c r="H28" s="70"/>
      <c r="J28" s="16"/>
    </row>
    <row r="29" spans="1:11" s="17" customFormat="1" x14ac:dyDescent="0.25">
      <c r="A29" s="203"/>
      <c r="B29" s="203" t="s">
        <v>72</v>
      </c>
      <c r="C29" s="288">
        <f>C26+C27+C28</f>
        <v>0</v>
      </c>
      <c r="D29" s="97">
        <f>D26+D27</f>
        <v>-31671994.109999999</v>
      </c>
      <c r="E29" s="287"/>
      <c r="F29" s="287"/>
      <c r="G29" s="277"/>
      <c r="J29" s="135"/>
    </row>
    <row r="30" spans="1:11" x14ac:dyDescent="0.25">
      <c r="A30" s="201"/>
      <c r="B30" s="201"/>
      <c r="C30" s="287"/>
      <c r="E30" s="287"/>
      <c r="F30" s="287"/>
      <c r="G30" s="277"/>
      <c r="J30" s="16"/>
    </row>
    <row r="31" spans="1:11" x14ac:dyDescent="0.25">
      <c r="A31" s="201"/>
      <c r="B31" s="201" t="s">
        <v>73</v>
      </c>
      <c r="C31" s="287">
        <f>C23+C29</f>
        <v>105287983.10999998</v>
      </c>
      <c r="D31" s="82">
        <f>D23+D26</f>
        <v>-4023752.1139998585</v>
      </c>
      <c r="E31" s="287"/>
      <c r="F31" s="287"/>
      <c r="G31" s="277"/>
    </row>
    <row r="32" spans="1:11" x14ac:dyDescent="0.25">
      <c r="A32" s="201"/>
      <c r="B32" s="201" t="s">
        <v>74</v>
      </c>
      <c r="C32" s="287">
        <v>49368706.859999999</v>
      </c>
      <c r="D32" s="82">
        <f>'[2]EST. FLUJO'!$C$32</f>
        <v>53392458.969999999</v>
      </c>
      <c r="E32" s="287"/>
      <c r="F32" s="287"/>
      <c r="G32" s="277"/>
    </row>
    <row r="33" spans="1:10" s="17" customFormat="1" x14ac:dyDescent="0.25">
      <c r="A33" s="203"/>
      <c r="B33" s="203" t="s">
        <v>75</v>
      </c>
      <c r="C33" s="288">
        <f>SUM(C31:C32)</f>
        <v>154656689.96999997</v>
      </c>
      <c r="D33" s="97">
        <f>D31+D32</f>
        <v>49368706.85600014</v>
      </c>
      <c r="E33" s="288"/>
      <c r="F33" s="287"/>
      <c r="G33" s="277"/>
      <c r="J33" s="97"/>
    </row>
    <row r="34" spans="1:10" x14ac:dyDescent="0.25">
      <c r="A34" s="201"/>
      <c r="B34" s="201"/>
      <c r="C34" s="287"/>
      <c r="D34" s="287"/>
      <c r="E34" s="277"/>
      <c r="F34" s="277"/>
      <c r="G34" s="201"/>
      <c r="H34" s="16"/>
    </row>
    <row r="35" spans="1:10" x14ac:dyDescent="0.25">
      <c r="A35" s="201"/>
      <c r="B35" s="201"/>
      <c r="C35" s="193"/>
      <c r="D35" s="287"/>
      <c r="E35" s="201"/>
      <c r="F35" s="287"/>
      <c r="G35" s="277"/>
      <c r="J35" s="16"/>
    </row>
    <row r="36" spans="1:10" x14ac:dyDescent="0.25">
      <c r="A36" s="201"/>
      <c r="B36" s="201"/>
      <c r="C36" s="287"/>
      <c r="D36" s="277"/>
      <c r="E36" s="287"/>
      <c r="F36" s="287"/>
      <c r="G36" s="277"/>
    </row>
    <row r="37" spans="1:10" x14ac:dyDescent="0.25">
      <c r="A37" s="201"/>
      <c r="B37" s="201"/>
      <c r="C37" s="287"/>
      <c r="D37" s="432"/>
      <c r="E37" s="433"/>
      <c r="F37" s="433"/>
      <c r="G37" s="433"/>
      <c r="J37" s="97"/>
    </row>
    <row r="38" spans="1:10" x14ac:dyDescent="0.25">
      <c r="A38" s="201"/>
      <c r="B38" s="201"/>
      <c r="C38" s="434"/>
      <c r="D38" s="435"/>
      <c r="E38" s="435"/>
      <c r="F38" s="435"/>
      <c r="G38" s="435"/>
    </row>
    <row r="39" spans="1:10" x14ac:dyDescent="0.25">
      <c r="A39" s="201"/>
      <c r="B39" s="218"/>
      <c r="C39" s="288"/>
      <c r="D39" s="420"/>
      <c r="E39" s="420"/>
      <c r="F39" s="420"/>
      <c r="G39" s="420"/>
      <c r="J39" s="82"/>
    </row>
    <row r="40" spans="1:10" x14ac:dyDescent="0.25">
      <c r="A40" s="417"/>
      <c r="B40" s="417"/>
      <c r="C40" s="417"/>
      <c r="D40" s="417"/>
      <c r="E40" s="203"/>
      <c r="F40" s="289"/>
      <c r="G40" s="277"/>
    </row>
    <row r="41" spans="1:10" x14ac:dyDescent="0.25">
      <c r="A41" s="417"/>
      <c r="B41" s="417"/>
      <c r="C41" s="417"/>
      <c r="D41" s="203"/>
      <c r="E41" s="203"/>
      <c r="F41" s="289"/>
      <c r="G41" s="277"/>
    </row>
    <row r="42" spans="1:10" x14ac:dyDescent="0.25">
      <c r="A42" s="201"/>
      <c r="B42" s="420" t="s">
        <v>2220</v>
      </c>
      <c r="C42" s="420"/>
      <c r="D42" s="420"/>
      <c r="E42" s="420"/>
      <c r="F42" s="287"/>
      <c r="G42" s="277"/>
    </row>
    <row r="43" spans="1:10" x14ac:dyDescent="0.25">
      <c r="A43" s="201"/>
      <c r="B43" s="420" t="s">
        <v>2221</v>
      </c>
      <c r="C43" s="420"/>
      <c r="D43" s="420"/>
      <c r="E43" s="420"/>
      <c r="F43" s="287"/>
      <c r="G43" s="277"/>
    </row>
    <row r="44" spans="1:10" x14ac:dyDescent="0.25">
      <c r="A44" s="201"/>
      <c r="B44" s="201"/>
      <c r="C44" s="201"/>
      <c r="D44" s="201"/>
      <c r="E44" s="201"/>
      <c r="F44" s="287"/>
      <c r="G44" s="277"/>
    </row>
    <row r="45" spans="1:10" x14ac:dyDescent="0.25">
      <c r="A45" s="203" t="s">
        <v>78</v>
      </c>
      <c r="B45" s="203" t="s">
        <v>7</v>
      </c>
      <c r="C45" s="420"/>
      <c r="D45" s="420"/>
      <c r="E45" s="420"/>
      <c r="F45" s="289"/>
      <c r="G45" s="201"/>
    </row>
    <row r="46" spans="1:10" x14ac:dyDescent="0.25">
      <c r="A46" s="203" t="s">
        <v>79</v>
      </c>
      <c r="B46" s="203" t="s">
        <v>7</v>
      </c>
      <c r="C46" s="420"/>
      <c r="D46" s="420"/>
      <c r="E46" s="420"/>
      <c r="F46" s="289"/>
      <c r="G46" s="201"/>
    </row>
    <row r="47" spans="1:10" x14ac:dyDescent="0.25">
      <c r="A47" s="201"/>
      <c r="B47" s="203"/>
      <c r="C47" s="420"/>
      <c r="D47" s="420"/>
      <c r="E47" s="420"/>
      <c r="F47" s="287"/>
      <c r="G47" s="201"/>
    </row>
    <row r="48" spans="1:10" x14ac:dyDescent="0.25">
      <c r="A48" s="201"/>
      <c r="B48" s="203" t="s">
        <v>2210</v>
      </c>
      <c r="C48" s="420" t="s">
        <v>76</v>
      </c>
      <c r="D48" s="420"/>
      <c r="E48" s="420"/>
      <c r="F48" s="287"/>
      <c r="G48" s="201"/>
    </row>
    <row r="49" spans="1:7" x14ac:dyDescent="0.25">
      <c r="A49" s="201"/>
      <c r="B49" s="203" t="s">
        <v>982</v>
      </c>
      <c r="C49" s="420" t="s">
        <v>77</v>
      </c>
      <c r="D49" s="420"/>
      <c r="E49" s="420"/>
      <c r="F49" s="287"/>
      <c r="G49" s="201"/>
    </row>
    <row r="50" spans="1:7" x14ac:dyDescent="0.25">
      <c r="A50" s="201" t="s">
        <v>7</v>
      </c>
      <c r="B50" s="201"/>
      <c r="C50" s="287"/>
      <c r="D50" s="201"/>
      <c r="E50" s="201"/>
      <c r="F50" s="287"/>
      <c r="G50" s="201"/>
    </row>
    <row r="51" spans="1:7" x14ac:dyDescent="0.25">
      <c r="A51" s="201"/>
      <c r="B51" s="201"/>
      <c r="C51" s="287"/>
      <c r="D51" s="201"/>
      <c r="E51" s="201"/>
      <c r="F51" s="287"/>
      <c r="G51" s="201"/>
    </row>
    <row r="52" spans="1:7" x14ac:dyDescent="0.25">
      <c r="A52" s="201"/>
      <c r="B52" s="201"/>
      <c r="C52" s="287"/>
      <c r="D52" s="201"/>
      <c r="E52" s="201"/>
      <c r="F52" s="202"/>
      <c r="G52" s="201"/>
    </row>
    <row r="53" spans="1:7" x14ac:dyDescent="0.25">
      <c r="A53" s="201"/>
      <c r="B53" s="201"/>
      <c r="C53" s="287"/>
      <c r="D53" s="201"/>
      <c r="E53" s="201"/>
      <c r="F53" s="202"/>
      <c r="G53" s="201"/>
    </row>
    <row r="54" spans="1:7" x14ac:dyDescent="0.25">
      <c r="A54" s="201"/>
      <c r="B54" s="201"/>
      <c r="C54" s="202"/>
      <c r="D54" s="201"/>
      <c r="E54" s="201"/>
      <c r="F54" s="202"/>
      <c r="G54" s="201"/>
    </row>
    <row r="55" spans="1:7" x14ac:dyDescent="0.25">
      <c r="A55" s="201"/>
      <c r="B55" s="201"/>
      <c r="C55" s="202"/>
      <c r="D55" s="201"/>
      <c r="E55" s="201"/>
      <c r="F55" s="202"/>
      <c r="G55" s="201"/>
    </row>
    <row r="56" spans="1:7" x14ac:dyDescent="0.25">
      <c r="A56" s="201"/>
      <c r="B56" s="201"/>
      <c r="C56" s="202"/>
      <c r="D56" s="201"/>
      <c r="E56" s="201"/>
      <c r="F56" s="202"/>
      <c r="G56" s="201"/>
    </row>
    <row r="57" spans="1:7" x14ac:dyDescent="0.25">
      <c r="A57" s="201"/>
      <c r="B57" s="201"/>
      <c r="C57" s="202"/>
      <c r="D57" s="201"/>
      <c r="E57" s="201"/>
      <c r="F57" s="202"/>
      <c r="G57" s="201"/>
    </row>
  </sheetData>
  <mergeCells count="19">
    <mergeCell ref="A1:C1"/>
    <mergeCell ref="A2:C2"/>
    <mergeCell ref="A3:C3"/>
    <mergeCell ref="A8:C8"/>
    <mergeCell ref="A9:C9"/>
    <mergeCell ref="C49:E49"/>
    <mergeCell ref="B43:E43"/>
    <mergeCell ref="C45:E45"/>
    <mergeCell ref="C46:E46"/>
    <mergeCell ref="A10:C10"/>
    <mergeCell ref="A11:C11"/>
    <mergeCell ref="C48:E48"/>
    <mergeCell ref="C47:E47"/>
    <mergeCell ref="B42:E42"/>
    <mergeCell ref="D39:G39"/>
    <mergeCell ref="D37:G37"/>
    <mergeCell ref="C38:G38"/>
    <mergeCell ref="A40:D40"/>
    <mergeCell ref="A41:C41"/>
  </mergeCells>
  <pageMargins left="0.7" right="0.7" top="1.5" bottom="0.75" header="0.3" footer="0.3"/>
  <pageSetup scale="6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"/>
  <sheetViews>
    <sheetView topLeftCell="A3" workbookViewId="0">
      <selection activeCell="F26" sqref="F26"/>
    </sheetView>
  </sheetViews>
  <sheetFormatPr baseColWidth="10" defaultColWidth="11.42578125" defaultRowHeight="15" x14ac:dyDescent="0.25"/>
  <cols>
    <col min="1" max="1" width="6.5703125" customWidth="1"/>
    <col min="2" max="2" width="38.140625" bestFit="1" customWidth="1"/>
    <col min="3" max="3" width="1.42578125" customWidth="1"/>
    <col min="4" max="4" width="19.7109375" customWidth="1"/>
    <col min="5" max="5" width="3.42578125" customWidth="1"/>
    <col min="6" max="6" width="16.28515625" customWidth="1"/>
    <col min="7" max="7" width="0.85546875" customWidth="1"/>
    <col min="9" max="9" width="1.140625" customWidth="1"/>
    <col min="10" max="10" width="18.85546875" customWidth="1"/>
  </cols>
  <sheetData>
    <row r="1" spans="1:12" x14ac:dyDescent="0.25">
      <c r="A1" s="428" t="s">
        <v>0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2" x14ac:dyDescent="0.25">
      <c r="A2" s="428" t="s">
        <v>1</v>
      </c>
      <c r="B2" s="428"/>
      <c r="C2" s="428"/>
      <c r="D2" s="428"/>
      <c r="E2" s="428"/>
      <c r="F2" s="428"/>
      <c r="G2" s="428"/>
      <c r="H2" s="428"/>
      <c r="I2" s="428"/>
      <c r="J2" s="428"/>
    </row>
    <row r="3" spans="1:12" x14ac:dyDescent="0.25">
      <c r="A3" s="428" t="s">
        <v>2</v>
      </c>
      <c r="B3" s="428"/>
      <c r="C3" s="428"/>
      <c r="D3" s="428"/>
      <c r="E3" s="428"/>
      <c r="F3" s="428"/>
      <c r="G3" s="428"/>
      <c r="H3" s="428"/>
      <c r="I3" s="428"/>
      <c r="J3" s="428"/>
    </row>
    <row r="4" spans="1:12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2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2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2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2" x14ac:dyDescent="0.25">
      <c r="A8" s="429"/>
      <c r="B8" s="429"/>
      <c r="C8" s="429"/>
      <c r="D8" s="429"/>
      <c r="E8" s="429"/>
      <c r="F8" s="429"/>
      <c r="G8" s="429"/>
      <c r="H8" s="429"/>
      <c r="I8" s="429"/>
      <c r="J8" s="429"/>
    </row>
    <row r="9" spans="1:12" x14ac:dyDescent="0.25">
      <c r="A9" s="428" t="s">
        <v>80</v>
      </c>
      <c r="B9" s="428"/>
      <c r="C9" s="428"/>
      <c r="D9" s="428"/>
      <c r="E9" s="428"/>
      <c r="F9" s="428"/>
      <c r="G9" s="428"/>
      <c r="H9" s="428"/>
      <c r="I9" s="428"/>
      <c r="J9" s="428"/>
    </row>
    <row r="10" spans="1:12" x14ac:dyDescent="0.25">
      <c r="A10" s="428" t="s">
        <v>2430</v>
      </c>
      <c r="B10" s="428"/>
      <c r="C10" s="428"/>
      <c r="D10" s="428"/>
      <c r="E10" s="428"/>
      <c r="F10" s="428"/>
      <c r="G10" s="428"/>
      <c r="H10" s="428"/>
      <c r="I10" s="428"/>
      <c r="J10" s="428"/>
    </row>
    <row r="11" spans="1:12" x14ac:dyDescent="0.25">
      <c r="A11" s="428" t="s">
        <v>81</v>
      </c>
      <c r="B11" s="428"/>
      <c r="C11" s="428"/>
      <c r="D11" s="428"/>
      <c r="E11" s="428"/>
      <c r="F11" s="428"/>
      <c r="G11" s="428"/>
      <c r="H11" s="428"/>
      <c r="I11" s="428"/>
      <c r="J11" s="428"/>
    </row>
    <row r="12" spans="1:12" x14ac:dyDescent="0.25">
      <c r="A12" s="428" t="s">
        <v>82</v>
      </c>
      <c r="B12" s="428"/>
      <c r="C12" s="428"/>
      <c r="D12" s="428"/>
      <c r="E12" s="428"/>
      <c r="F12" s="428"/>
      <c r="G12" s="428"/>
      <c r="H12" s="428"/>
      <c r="I12" s="428"/>
      <c r="J12" s="428"/>
    </row>
    <row r="13" spans="1:12" x14ac:dyDescent="0.25">
      <c r="A13" s="428"/>
      <c r="B13" s="428"/>
      <c r="C13" s="428"/>
      <c r="D13" s="428"/>
      <c r="E13" s="428"/>
      <c r="F13" s="428"/>
      <c r="G13" s="428"/>
      <c r="H13" s="428"/>
      <c r="I13" s="428"/>
      <c r="J13" s="428"/>
    </row>
    <row r="15" spans="1:12" s="2" customFormat="1" ht="60" x14ac:dyDescent="0.25">
      <c r="A15" s="6" t="s">
        <v>83</v>
      </c>
      <c r="D15" s="4" t="s">
        <v>84</v>
      </c>
      <c r="E15" s="4"/>
      <c r="F15" s="4" t="s">
        <v>85</v>
      </c>
      <c r="G15" s="4"/>
      <c r="H15" s="4" t="s">
        <v>86</v>
      </c>
      <c r="I15" s="4"/>
      <c r="J15" s="4" t="s">
        <v>87</v>
      </c>
    </row>
    <row r="16" spans="1:12" s="17" customFormat="1" x14ac:dyDescent="0.25">
      <c r="A16" s="66">
        <v>1</v>
      </c>
      <c r="B16" s="17" t="s">
        <v>88</v>
      </c>
      <c r="D16" s="67">
        <f>SUM(D17:D19)</f>
        <v>1856111902</v>
      </c>
      <c r="E16" s="67"/>
      <c r="F16" s="67">
        <f>SUM(F17:F19)</f>
        <v>119166205.01999998</v>
      </c>
      <c r="G16" s="67"/>
      <c r="H16" s="69">
        <f>SUM(H17:H19)</f>
        <v>0.15150899182705926</v>
      </c>
      <c r="I16" s="67"/>
      <c r="J16" s="67">
        <f>SUM(J17:J19)</f>
        <v>1477623636.1300001</v>
      </c>
      <c r="L16" s="17">
        <f>F16/D16</f>
        <v>6.4202058556704397E-2</v>
      </c>
    </row>
    <row r="17" spans="1:12" x14ac:dyDescent="0.25">
      <c r="A17" s="65">
        <v>1.4</v>
      </c>
      <c r="B17" t="s">
        <v>2540</v>
      </c>
      <c r="D17" s="18">
        <v>256528100</v>
      </c>
      <c r="E17" s="18"/>
      <c r="F17" s="18">
        <v>0</v>
      </c>
      <c r="G17" s="18"/>
      <c r="H17" s="68">
        <f>F17/D17</f>
        <v>0</v>
      </c>
      <c r="I17" s="18"/>
      <c r="J17" s="18">
        <f>+D17-F17</f>
        <v>256528100</v>
      </c>
    </row>
    <row r="18" spans="1:12" x14ac:dyDescent="0.25">
      <c r="A18" s="65"/>
      <c r="B18" t="s">
        <v>2541</v>
      </c>
      <c r="D18" s="18">
        <v>281166380</v>
      </c>
      <c r="E18" s="18"/>
      <c r="F18" s="18">
        <f>'ESTADO DE REND.'!C18</f>
        <v>21844319.149999999</v>
      </c>
      <c r="G18" s="18"/>
      <c r="H18" s="68">
        <f>F18/D18</f>
        <v>7.7691789288605553E-2</v>
      </c>
      <c r="I18" s="18"/>
      <c r="J18" s="18"/>
    </row>
    <row r="19" spans="1:12" x14ac:dyDescent="0.25">
      <c r="A19" s="65">
        <v>1.6</v>
      </c>
      <c r="B19" t="s">
        <v>2542</v>
      </c>
      <c r="D19" s="18">
        <v>1318417422</v>
      </c>
      <c r="E19" s="18"/>
      <c r="F19" s="18">
        <f>'ESTADO DE REND.'!C17</f>
        <v>97321885.86999999</v>
      </c>
      <c r="G19" s="18"/>
      <c r="H19" s="68">
        <f>F19/D19</f>
        <v>7.3817202538453711E-2</v>
      </c>
      <c r="I19" s="18"/>
      <c r="J19" s="18">
        <f>+D19-F19</f>
        <v>1221095536.1300001</v>
      </c>
      <c r="L19">
        <f>F19/D19</f>
        <v>7.3817202538453711E-2</v>
      </c>
    </row>
    <row r="20" spans="1:12" s="17" customFormat="1" x14ac:dyDescent="0.25">
      <c r="A20" s="66">
        <v>2</v>
      </c>
      <c r="B20" s="17" t="s">
        <v>89</v>
      </c>
      <c r="D20" s="67">
        <f>SUM(D21:D25)</f>
        <v>1856111902</v>
      </c>
      <c r="E20" s="67"/>
      <c r="F20" s="67">
        <f>SUM(F21:F25)</f>
        <v>61496148.130000003</v>
      </c>
      <c r="G20" s="67"/>
      <c r="H20" s="69">
        <f>SUM(H21:H25)</f>
        <v>9.5676335642174412E-2</v>
      </c>
      <c r="I20" s="67"/>
      <c r="J20" s="67">
        <f>SUM(J21:J25)</f>
        <v>1794615753.8699999</v>
      </c>
    </row>
    <row r="21" spans="1:12" x14ac:dyDescent="0.25">
      <c r="A21" s="65">
        <v>2.1</v>
      </c>
      <c r="B21" t="s">
        <v>90</v>
      </c>
      <c r="D21" s="18">
        <v>780579852</v>
      </c>
      <c r="E21" s="18"/>
      <c r="F21" s="18">
        <f>'ESTADO DE REND.'!C24</f>
        <v>40373158.93</v>
      </c>
      <c r="G21" s="18"/>
      <c r="H21" s="68">
        <f>F21/D21</f>
        <v>5.1722010024414518E-2</v>
      </c>
      <c r="I21" s="18"/>
      <c r="J21" s="18">
        <f>+D21-F21</f>
        <v>740206693.07000005</v>
      </c>
    </row>
    <row r="22" spans="1:12" x14ac:dyDescent="0.25">
      <c r="A22" s="65">
        <v>2.2000000000000002</v>
      </c>
      <c r="B22" t="s">
        <v>91</v>
      </c>
      <c r="D22" s="18">
        <v>133048989</v>
      </c>
      <c r="E22" s="18"/>
      <c r="F22" s="18">
        <f>'ESTADO DE REND.'!C28</f>
        <v>2805637.63</v>
      </c>
      <c r="G22" s="18"/>
      <c r="H22" s="68">
        <f t="shared" ref="H22:H25" si="0">F22/D22</f>
        <v>2.1087252530720094E-2</v>
      </c>
      <c r="I22" s="18"/>
      <c r="J22" s="18">
        <f t="shared" ref="J22:J25" si="1">+D22-F22</f>
        <v>130243351.37</v>
      </c>
    </row>
    <row r="23" spans="1:12" x14ac:dyDescent="0.25">
      <c r="A23" s="65">
        <v>2.2999999999999998</v>
      </c>
      <c r="B23" t="s">
        <v>92</v>
      </c>
      <c r="D23" s="18">
        <v>801036123</v>
      </c>
      <c r="E23" s="18"/>
      <c r="F23" s="18">
        <f>'ESTADO DE REND.'!C26</f>
        <v>18317351.57</v>
      </c>
      <c r="G23" s="18"/>
      <c r="H23" s="68">
        <f t="shared" si="0"/>
        <v>2.2867073087039797E-2</v>
      </c>
      <c r="I23" s="18"/>
      <c r="J23" s="18">
        <f t="shared" si="1"/>
        <v>782718771.42999995</v>
      </c>
    </row>
    <row r="24" spans="1:12" x14ac:dyDescent="0.25">
      <c r="A24" s="65">
        <v>2.4</v>
      </c>
      <c r="B24" t="s">
        <v>93</v>
      </c>
      <c r="D24" s="18">
        <v>250000</v>
      </c>
      <c r="E24" s="18"/>
      <c r="F24" s="18">
        <v>0</v>
      </c>
      <c r="G24" s="18"/>
      <c r="H24" s="68">
        <f t="shared" si="0"/>
        <v>0</v>
      </c>
      <c r="I24" s="18"/>
      <c r="J24" s="18">
        <f t="shared" si="1"/>
        <v>250000</v>
      </c>
    </row>
    <row r="25" spans="1:12" x14ac:dyDescent="0.25">
      <c r="A25" s="65">
        <v>2.6</v>
      </c>
      <c r="B25" t="s">
        <v>94</v>
      </c>
      <c r="D25" s="18">
        <v>141196938</v>
      </c>
      <c r="E25" s="18"/>
      <c r="F25" s="18">
        <v>0</v>
      </c>
      <c r="G25" s="18"/>
      <c r="H25" s="68">
        <f t="shared" si="0"/>
        <v>0</v>
      </c>
      <c r="I25" s="18"/>
      <c r="J25" s="18">
        <f t="shared" si="1"/>
        <v>141196938</v>
      </c>
    </row>
    <row r="26" spans="1:12" s="17" customFormat="1" ht="15.75" thickBot="1" x14ac:dyDescent="0.3">
      <c r="A26" s="66"/>
      <c r="B26" s="17" t="s">
        <v>95</v>
      </c>
      <c r="D26" s="62">
        <f>+D16-D20</f>
        <v>0</v>
      </c>
      <c r="E26" s="62"/>
      <c r="F26" s="62">
        <f>+F16-F20</f>
        <v>57670056.889999978</v>
      </c>
      <c r="G26" s="62"/>
      <c r="H26" s="62"/>
      <c r="I26" s="62"/>
      <c r="J26" s="62">
        <f>+J16-J20</f>
        <v>-316992117.73999977</v>
      </c>
    </row>
    <row r="27" spans="1:12" ht="15.75" thickTop="1" x14ac:dyDescent="0.25">
      <c r="A27" s="65"/>
      <c r="D27" s="18"/>
      <c r="E27" s="18"/>
      <c r="F27" s="18"/>
      <c r="G27" s="18"/>
      <c r="H27" s="18"/>
      <c r="I27" s="18"/>
      <c r="J27" s="18"/>
    </row>
    <row r="28" spans="1:12" x14ac:dyDescent="0.25">
      <c r="A28" s="65"/>
      <c r="D28" s="18"/>
      <c r="E28" s="18"/>
      <c r="F28" s="18"/>
      <c r="G28" s="18"/>
      <c r="H28" s="18"/>
      <c r="I28" s="18"/>
      <c r="J28" s="18"/>
    </row>
    <row r="29" spans="1:12" x14ac:dyDescent="0.25">
      <c r="A29" s="65"/>
      <c r="D29" s="18"/>
      <c r="E29" s="18"/>
      <c r="F29" s="18"/>
      <c r="G29" s="18"/>
      <c r="H29" s="18"/>
      <c r="I29" s="18"/>
      <c r="J29" s="18"/>
    </row>
    <row r="30" spans="1:12" x14ac:dyDescent="0.25">
      <c r="A30" s="65"/>
      <c r="D30" s="18"/>
      <c r="E30" s="18"/>
      <c r="F30" s="18"/>
      <c r="G30" s="18"/>
      <c r="H30" s="18"/>
      <c r="I30" s="18"/>
      <c r="J30" s="18"/>
    </row>
    <row r="31" spans="1:12" x14ac:dyDescent="0.25">
      <c r="A31" s="65"/>
      <c r="D31" s="18"/>
      <c r="E31" s="18"/>
      <c r="F31" s="67"/>
      <c r="G31" s="18"/>
      <c r="H31" s="18"/>
      <c r="I31" s="18"/>
      <c r="J31" s="18"/>
    </row>
    <row r="32" spans="1:12" x14ac:dyDescent="0.25">
      <c r="A32" s="65"/>
      <c r="D32" s="18"/>
      <c r="E32" s="18"/>
      <c r="F32" s="67"/>
      <c r="G32" s="18"/>
      <c r="H32" s="18"/>
      <c r="I32" s="18"/>
      <c r="J32" s="18"/>
    </row>
    <row r="33" spans="1:11" x14ac:dyDescent="0.25">
      <c r="A33" s="65"/>
      <c r="D33" s="18"/>
      <c r="E33" s="18"/>
      <c r="F33" s="18" t="s">
        <v>7</v>
      </c>
      <c r="G33" s="18"/>
      <c r="H33" s="430" t="s">
        <v>7</v>
      </c>
      <c r="I33" s="430"/>
      <c r="J33" s="430"/>
      <c r="K33" s="430"/>
    </row>
    <row r="34" spans="1:11" x14ac:dyDescent="0.25">
      <c r="A34" s="65"/>
      <c r="D34" s="218"/>
      <c r="E34" s="18"/>
      <c r="F34" s="18"/>
      <c r="G34" s="18"/>
      <c r="H34" s="18"/>
      <c r="I34" s="18"/>
      <c r="J34" s="18"/>
    </row>
    <row r="35" spans="1:11" x14ac:dyDescent="0.25">
      <c r="A35" s="65"/>
      <c r="D35" s="18"/>
      <c r="E35" s="18"/>
      <c r="F35" s="67"/>
      <c r="G35" s="18"/>
      <c r="H35" s="18"/>
      <c r="I35" s="18"/>
      <c r="J35" s="18"/>
    </row>
    <row r="36" spans="1:11" x14ac:dyDescent="0.25">
      <c r="A36" s="431" t="s">
        <v>2214</v>
      </c>
      <c r="B36" s="431"/>
      <c r="C36" s="431"/>
      <c r="D36" s="431"/>
      <c r="E36" s="431"/>
      <c r="F36" s="431"/>
      <c r="G36" s="431"/>
      <c r="H36" s="431"/>
      <c r="I36" s="431"/>
      <c r="J36" s="431"/>
    </row>
    <row r="37" spans="1:11" x14ac:dyDescent="0.25">
      <c r="A37" s="65" t="s">
        <v>7</v>
      </c>
      <c r="B37" s="17" t="s">
        <v>2222</v>
      </c>
      <c r="D37" s="18"/>
      <c r="E37" s="18"/>
      <c r="F37" s="67"/>
      <c r="G37" s="18"/>
      <c r="H37" s="18"/>
      <c r="I37" s="18"/>
      <c r="J37" s="18"/>
    </row>
    <row r="38" spans="1:11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</row>
    <row r="41" spans="1:11" x14ac:dyDescent="0.25">
      <c r="A41" s="431" t="s">
        <v>7</v>
      </c>
      <c r="B41" s="431"/>
      <c r="C41" s="431"/>
      <c r="D41" s="431"/>
      <c r="E41" s="431" t="s">
        <v>7</v>
      </c>
      <c r="F41" s="431"/>
      <c r="G41" s="431"/>
      <c r="H41" s="431"/>
      <c r="I41" s="431"/>
      <c r="J41" s="431"/>
    </row>
    <row r="42" spans="1:11" x14ac:dyDescent="0.25">
      <c r="A42" s="431" t="s">
        <v>7</v>
      </c>
      <c r="B42" s="431"/>
      <c r="C42" s="431"/>
      <c r="D42" s="431"/>
      <c r="E42" s="431" t="s">
        <v>7</v>
      </c>
      <c r="F42" s="431"/>
      <c r="G42" s="431"/>
      <c r="H42" s="431"/>
      <c r="I42" s="431"/>
      <c r="J42" s="431"/>
    </row>
    <row r="43" spans="1:11" x14ac:dyDescent="0.25">
      <c r="A43" s="65"/>
      <c r="B43" s="17" t="s">
        <v>2210</v>
      </c>
      <c r="E43" t="s">
        <v>7</v>
      </c>
      <c r="F43" s="67" t="s">
        <v>54</v>
      </c>
    </row>
    <row r="44" spans="1:11" x14ac:dyDescent="0.25">
      <c r="A44" s="65"/>
      <c r="B44" s="17" t="s">
        <v>982</v>
      </c>
      <c r="F44" s="67" t="s">
        <v>96</v>
      </c>
    </row>
  </sheetData>
  <sheetProtection formatCells="0"/>
  <mergeCells count="15">
    <mergeCell ref="A36:J36"/>
    <mergeCell ref="A41:D41"/>
    <mergeCell ref="A42:D42"/>
    <mergeCell ref="E41:J41"/>
    <mergeCell ref="E42:J42"/>
    <mergeCell ref="H33:K33"/>
    <mergeCell ref="A11:J11"/>
    <mergeCell ref="A12:J12"/>
    <mergeCell ref="A13:J13"/>
    <mergeCell ref="A1:J1"/>
    <mergeCell ref="A2:J2"/>
    <mergeCell ref="A3:J3"/>
    <mergeCell ref="A8:J8"/>
    <mergeCell ref="A9:J9"/>
    <mergeCell ref="A10:J10"/>
  </mergeCells>
  <pageMargins left="0.7" right="0.7" top="1.5" bottom="0.75" header="0.3" footer="0.3"/>
  <pageSetup scale="6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2:L657"/>
  <sheetViews>
    <sheetView topLeftCell="A63" workbookViewId="0">
      <selection activeCell="H63" sqref="H63"/>
    </sheetView>
  </sheetViews>
  <sheetFormatPr baseColWidth="10" defaultColWidth="11.42578125" defaultRowHeight="15" x14ac:dyDescent="0.25"/>
  <cols>
    <col min="1" max="1" width="11.42578125" customWidth="1"/>
    <col min="2" max="2" width="30.42578125" customWidth="1"/>
    <col min="4" max="4" width="16.7109375" bestFit="1" customWidth="1"/>
    <col min="5" max="5" width="15.140625" bestFit="1" customWidth="1"/>
    <col min="6" max="7" width="17.42578125" customWidth="1"/>
    <col min="8" max="8" width="15.140625" bestFit="1" customWidth="1"/>
    <col min="9" max="9" width="16.85546875" bestFit="1" customWidth="1"/>
    <col min="10" max="10" width="16.7109375" bestFit="1" customWidth="1"/>
    <col min="13" max="13" width="13.140625" bestFit="1" customWidth="1"/>
  </cols>
  <sheetData>
    <row r="12" spans="2:10" x14ac:dyDescent="0.25">
      <c r="B12" s="17" t="s">
        <v>97</v>
      </c>
    </row>
    <row r="14" spans="2:10" ht="15.75" x14ac:dyDescent="0.25">
      <c r="B14" s="109" t="s">
        <v>98</v>
      </c>
    </row>
    <row r="16" spans="2:10" ht="15.75" x14ac:dyDescent="0.25">
      <c r="B16" s="110" t="s">
        <v>99</v>
      </c>
      <c r="C16" s="110"/>
      <c r="D16" s="110"/>
      <c r="E16" s="110"/>
      <c r="F16" s="110"/>
      <c r="G16" s="110"/>
      <c r="H16" s="110"/>
      <c r="I16" s="110"/>
      <c r="J16" s="110"/>
    </row>
    <row r="17" spans="2:10" ht="15.75" x14ac:dyDescent="0.25">
      <c r="B17" s="110" t="s">
        <v>100</v>
      </c>
      <c r="C17" s="110"/>
      <c r="D17" s="110"/>
      <c r="E17" s="110"/>
      <c r="F17" s="110"/>
      <c r="G17" s="110"/>
      <c r="H17" s="110"/>
      <c r="I17" s="110"/>
      <c r="J17" s="110"/>
    </row>
    <row r="18" spans="2:10" ht="15.75" x14ac:dyDescent="0.25">
      <c r="B18" s="110" t="s">
        <v>101</v>
      </c>
      <c r="C18" s="110"/>
      <c r="D18" s="110"/>
      <c r="E18" s="110"/>
      <c r="F18" s="110"/>
      <c r="G18" s="110"/>
      <c r="H18" s="110"/>
      <c r="I18" s="110"/>
      <c r="J18" s="110"/>
    </row>
    <row r="19" spans="2:10" ht="15.75" x14ac:dyDescent="0.25">
      <c r="B19" s="110"/>
      <c r="C19" s="110"/>
      <c r="D19" s="110"/>
      <c r="E19" s="110"/>
      <c r="F19" s="110"/>
      <c r="G19" s="110"/>
      <c r="H19" s="110"/>
      <c r="I19" s="110"/>
      <c r="J19" s="110"/>
    </row>
    <row r="20" spans="2:10" ht="15.75" x14ac:dyDescent="0.25">
      <c r="B20" s="110" t="s">
        <v>102</v>
      </c>
      <c r="C20" s="110"/>
      <c r="D20" s="110"/>
      <c r="E20" s="110"/>
      <c r="F20" s="110"/>
      <c r="G20" s="110"/>
      <c r="H20" s="110"/>
      <c r="I20" s="110"/>
      <c r="J20" s="110"/>
    </row>
    <row r="21" spans="2:10" ht="15.75" x14ac:dyDescent="0.25">
      <c r="B21" s="110" t="s">
        <v>103</v>
      </c>
      <c r="C21" s="110"/>
      <c r="D21" s="110"/>
      <c r="E21" s="110"/>
      <c r="F21" s="110"/>
      <c r="G21" s="110"/>
      <c r="H21" s="110"/>
      <c r="I21" s="110"/>
      <c r="J21" s="110"/>
    </row>
    <row r="22" spans="2:10" ht="15.75" x14ac:dyDescent="0.25">
      <c r="B22" s="110" t="s">
        <v>104</v>
      </c>
      <c r="C22" s="110"/>
      <c r="D22" s="110"/>
      <c r="E22" s="110"/>
      <c r="F22" s="110"/>
      <c r="G22" s="110"/>
      <c r="H22" s="110"/>
      <c r="I22" s="110"/>
      <c r="J22" s="110"/>
    </row>
    <row r="23" spans="2:10" ht="15.75" x14ac:dyDescent="0.25">
      <c r="B23" s="110" t="s">
        <v>105</v>
      </c>
      <c r="C23" s="110"/>
      <c r="D23" s="110"/>
      <c r="E23" s="110"/>
      <c r="F23" s="110"/>
      <c r="G23" s="110"/>
      <c r="H23" s="110"/>
      <c r="I23" s="110"/>
      <c r="J23" s="110"/>
    </row>
    <row r="24" spans="2:10" ht="15.75" x14ac:dyDescent="0.25">
      <c r="B24" s="110"/>
      <c r="C24" s="110"/>
      <c r="D24" s="110"/>
      <c r="E24" s="110"/>
      <c r="F24" s="110"/>
      <c r="G24" s="110"/>
      <c r="H24" s="110"/>
      <c r="I24" s="110"/>
      <c r="J24" s="110"/>
    </row>
    <row r="25" spans="2:10" ht="15.75" x14ac:dyDescent="0.25">
      <c r="B25" s="110" t="s">
        <v>106</v>
      </c>
      <c r="C25" s="110"/>
      <c r="D25" s="110"/>
      <c r="E25" s="110"/>
      <c r="F25" s="110"/>
      <c r="G25" s="110"/>
      <c r="H25" s="110"/>
      <c r="I25" s="110"/>
      <c r="J25" s="110"/>
    </row>
    <row r="26" spans="2:10" ht="15.75" x14ac:dyDescent="0.25">
      <c r="B26" s="110" t="s">
        <v>107</v>
      </c>
      <c r="C26" s="110"/>
      <c r="D26" s="110"/>
      <c r="E26" s="110"/>
      <c r="F26" s="110"/>
      <c r="G26" s="110"/>
      <c r="H26" s="110"/>
      <c r="I26" s="110"/>
      <c r="J26" s="110"/>
    </row>
    <row r="27" spans="2:10" ht="15.75" x14ac:dyDescent="0.25">
      <c r="B27" s="110" t="s">
        <v>108</v>
      </c>
      <c r="C27" s="110"/>
      <c r="D27" s="110"/>
      <c r="E27" s="110"/>
      <c r="F27" s="110"/>
      <c r="G27" s="110"/>
      <c r="H27" s="110"/>
      <c r="I27" s="110"/>
      <c r="J27" s="110"/>
    </row>
    <row r="28" spans="2:10" ht="15.75" x14ac:dyDescent="0.25">
      <c r="B28" s="110"/>
      <c r="C28" s="110"/>
      <c r="D28" s="110"/>
      <c r="E28" s="110"/>
      <c r="F28" s="110"/>
      <c r="G28" s="110"/>
      <c r="H28" s="110"/>
      <c r="I28" s="110"/>
      <c r="J28" s="110"/>
    </row>
    <row r="29" spans="2:10" ht="15.75" x14ac:dyDescent="0.25">
      <c r="B29" s="110" t="s">
        <v>109</v>
      </c>
      <c r="C29" s="110"/>
      <c r="D29" s="110"/>
      <c r="E29" s="110"/>
      <c r="F29" s="110"/>
      <c r="G29" s="110"/>
      <c r="H29" s="110"/>
      <c r="I29" s="110"/>
      <c r="J29" s="110"/>
    </row>
    <row r="30" spans="2:10" ht="15.75" x14ac:dyDescent="0.25">
      <c r="B30" s="110" t="s">
        <v>110</v>
      </c>
      <c r="C30" s="110"/>
      <c r="D30" s="110"/>
      <c r="E30" s="110"/>
      <c r="F30" s="110"/>
      <c r="G30" s="110"/>
      <c r="H30" s="110"/>
      <c r="I30" s="110"/>
      <c r="J30" s="110"/>
    </row>
    <row r="31" spans="2:10" ht="15.75" x14ac:dyDescent="0.25">
      <c r="B31" s="110"/>
      <c r="C31" s="110"/>
      <c r="D31" s="110"/>
      <c r="E31" s="110"/>
      <c r="F31" s="110"/>
      <c r="G31" s="110"/>
      <c r="H31" s="110"/>
      <c r="I31" s="110"/>
      <c r="J31" s="110"/>
    </row>
    <row r="32" spans="2:10" ht="15.75" x14ac:dyDescent="0.25">
      <c r="B32" s="110" t="s">
        <v>111</v>
      </c>
      <c r="C32" s="110"/>
      <c r="D32" s="110"/>
      <c r="E32" s="110"/>
      <c r="F32" s="110"/>
      <c r="G32" s="110"/>
      <c r="H32" s="110"/>
      <c r="I32" s="110"/>
      <c r="J32" s="110"/>
    </row>
    <row r="33" spans="2:10" ht="15.75" x14ac:dyDescent="0.25">
      <c r="B33" s="110" t="s">
        <v>112</v>
      </c>
      <c r="C33" s="110"/>
      <c r="D33" s="110"/>
      <c r="E33" s="110"/>
      <c r="F33" s="110"/>
      <c r="G33" s="110"/>
      <c r="H33" s="110"/>
      <c r="I33" s="110"/>
      <c r="J33" s="110"/>
    </row>
    <row r="34" spans="2:10" ht="15.75" x14ac:dyDescent="0.25">
      <c r="B34" s="110" t="s">
        <v>113</v>
      </c>
      <c r="C34" s="110"/>
      <c r="D34" s="110"/>
      <c r="E34" s="110"/>
      <c r="F34" s="110"/>
      <c r="G34" s="110"/>
      <c r="H34" s="110"/>
      <c r="I34" s="110"/>
      <c r="J34" s="110"/>
    </row>
    <row r="35" spans="2:10" ht="15.75" x14ac:dyDescent="0.25">
      <c r="B35" s="110"/>
      <c r="C35" s="110"/>
      <c r="D35" s="110"/>
      <c r="E35" s="110"/>
      <c r="F35" s="110"/>
      <c r="G35" s="110"/>
      <c r="H35" s="110"/>
      <c r="I35" s="110"/>
      <c r="J35" s="110"/>
    </row>
    <row r="36" spans="2:10" ht="15.75" x14ac:dyDescent="0.25">
      <c r="B36" s="110" t="s">
        <v>114</v>
      </c>
      <c r="C36" s="110"/>
      <c r="D36" s="110"/>
      <c r="E36" s="110"/>
      <c r="F36" s="110"/>
      <c r="G36" s="110"/>
      <c r="H36" s="110"/>
      <c r="I36" s="110"/>
      <c r="J36" s="110"/>
    </row>
    <row r="37" spans="2:10" ht="15.75" x14ac:dyDescent="0.25">
      <c r="B37" s="110" t="s">
        <v>115</v>
      </c>
      <c r="C37" s="110"/>
      <c r="D37" s="110"/>
      <c r="E37" s="110"/>
      <c r="F37" s="110"/>
      <c r="G37" s="110"/>
      <c r="H37" s="110"/>
      <c r="I37" s="110"/>
      <c r="J37" s="110"/>
    </row>
    <row r="38" spans="2:10" ht="15.75" x14ac:dyDescent="0.25">
      <c r="B38" s="110"/>
      <c r="C38" s="110"/>
      <c r="D38" s="110"/>
      <c r="E38" s="110"/>
      <c r="F38" s="110"/>
      <c r="G38" s="110"/>
      <c r="H38" s="110"/>
      <c r="I38" s="110"/>
      <c r="J38" s="110"/>
    </row>
    <row r="39" spans="2:10" ht="15.75" x14ac:dyDescent="0.25">
      <c r="B39" s="110" t="s">
        <v>116</v>
      </c>
      <c r="C39" s="110"/>
      <c r="D39" s="110"/>
      <c r="E39" s="110"/>
      <c r="F39" s="110"/>
      <c r="G39" s="110"/>
      <c r="H39" s="110"/>
      <c r="I39" s="110"/>
      <c r="J39" s="110"/>
    </row>
    <row r="40" spans="2:10" ht="15.75" x14ac:dyDescent="0.25">
      <c r="B40" s="110" t="s">
        <v>117</v>
      </c>
      <c r="C40" s="110"/>
      <c r="D40" s="110"/>
      <c r="E40" s="110"/>
      <c r="F40" s="110"/>
      <c r="G40" s="110"/>
      <c r="H40" s="110"/>
      <c r="I40" s="110"/>
      <c r="J40" s="110"/>
    </row>
    <row r="41" spans="2:10" ht="15.75" x14ac:dyDescent="0.25">
      <c r="B41" s="110" t="s">
        <v>118</v>
      </c>
      <c r="C41" s="110"/>
      <c r="D41" s="110"/>
      <c r="E41" s="110"/>
      <c r="F41" s="110"/>
      <c r="G41" s="110"/>
      <c r="H41" s="110"/>
      <c r="I41" s="110"/>
      <c r="J41" s="110"/>
    </row>
    <row r="42" spans="2:10" ht="15.75" x14ac:dyDescent="0.25">
      <c r="B42" s="110"/>
      <c r="C42" s="110"/>
      <c r="D42" s="110"/>
      <c r="E42" s="110"/>
      <c r="F42" s="110"/>
      <c r="G42" s="110"/>
      <c r="H42" s="110"/>
      <c r="I42" s="110"/>
      <c r="J42" s="110"/>
    </row>
    <row r="43" spans="2:10" ht="15.75" x14ac:dyDescent="0.25">
      <c r="B43" s="110" t="s">
        <v>119</v>
      </c>
      <c r="C43" s="110"/>
      <c r="D43" s="110"/>
      <c r="E43" s="110"/>
      <c r="F43" s="110"/>
      <c r="G43" s="110"/>
      <c r="H43" s="110"/>
      <c r="I43" s="110"/>
      <c r="J43" s="110"/>
    </row>
    <row r="44" spans="2:10" ht="15.75" x14ac:dyDescent="0.25">
      <c r="B44" s="110"/>
      <c r="C44" s="110"/>
      <c r="D44" s="110"/>
      <c r="E44" s="110"/>
      <c r="F44" s="110"/>
      <c r="G44" s="110"/>
      <c r="H44" s="110"/>
      <c r="I44" s="110"/>
      <c r="J44" s="110"/>
    </row>
    <row r="45" spans="2:10" ht="15.75" x14ac:dyDescent="0.25">
      <c r="B45" s="110" t="s">
        <v>120</v>
      </c>
      <c r="C45" s="110"/>
      <c r="D45" s="110"/>
      <c r="E45" s="110"/>
      <c r="F45" s="110"/>
      <c r="G45" s="110"/>
      <c r="H45" s="110"/>
      <c r="I45" s="110"/>
      <c r="J45" s="110"/>
    </row>
    <row r="46" spans="2:10" ht="15.75" x14ac:dyDescent="0.25">
      <c r="B46" s="110"/>
      <c r="C46" s="110"/>
      <c r="D46" s="110"/>
      <c r="E46" s="110"/>
      <c r="F46" s="110"/>
      <c r="G46" s="110"/>
      <c r="H46" s="110"/>
      <c r="I46" s="110"/>
      <c r="J46" s="110"/>
    </row>
    <row r="47" spans="2:10" ht="15.75" x14ac:dyDescent="0.25">
      <c r="B47" s="110" t="s">
        <v>121</v>
      </c>
      <c r="C47" s="110"/>
      <c r="D47" s="110"/>
      <c r="E47" s="110"/>
      <c r="F47" s="110"/>
      <c r="G47" s="110"/>
      <c r="H47" s="110"/>
      <c r="I47" s="110"/>
      <c r="J47" s="110"/>
    </row>
    <row r="48" spans="2:10" ht="15.75" x14ac:dyDescent="0.25">
      <c r="B48" s="110" t="s">
        <v>122</v>
      </c>
      <c r="C48" s="110"/>
      <c r="D48" s="110"/>
      <c r="E48" s="110"/>
      <c r="F48" s="110"/>
      <c r="G48" s="110"/>
      <c r="H48" s="110"/>
      <c r="I48" s="110"/>
      <c r="J48" s="110"/>
    </row>
    <row r="49" spans="2:10" ht="15.75" x14ac:dyDescent="0.25">
      <c r="B49" s="110"/>
      <c r="C49" s="110"/>
      <c r="D49" s="110"/>
      <c r="E49" s="110"/>
      <c r="F49" s="110"/>
      <c r="G49" s="110"/>
      <c r="H49" s="110"/>
      <c r="I49" s="110"/>
      <c r="J49" s="110"/>
    </row>
    <row r="50" spans="2:10" ht="15.75" x14ac:dyDescent="0.25">
      <c r="B50" s="110"/>
      <c r="C50" s="110"/>
      <c r="D50" s="110"/>
      <c r="E50" s="110"/>
      <c r="F50" s="110"/>
      <c r="G50" s="110"/>
      <c r="H50" s="110"/>
      <c r="I50" s="110"/>
      <c r="J50" s="110"/>
    </row>
    <row r="51" spans="2:10" ht="15.75" x14ac:dyDescent="0.25">
      <c r="B51" s="109" t="s">
        <v>123</v>
      </c>
      <c r="C51" s="110"/>
      <c r="D51" s="110"/>
      <c r="E51" s="110"/>
      <c r="F51" s="110"/>
      <c r="G51" s="110"/>
      <c r="H51" s="110"/>
      <c r="I51" s="110"/>
      <c r="J51" s="110"/>
    </row>
    <row r="52" spans="2:10" ht="15.75" x14ac:dyDescent="0.25">
      <c r="B52" s="110"/>
      <c r="C52" s="110"/>
      <c r="D52" s="110"/>
      <c r="E52" s="110"/>
      <c r="F52" s="110"/>
      <c r="G52" s="110"/>
      <c r="H52" s="110"/>
      <c r="I52" s="110"/>
      <c r="J52" s="110"/>
    </row>
    <row r="53" spans="2:10" ht="15.75" x14ac:dyDescent="0.25">
      <c r="B53" s="110" t="s">
        <v>124</v>
      </c>
      <c r="C53" s="110"/>
      <c r="D53" s="110"/>
      <c r="E53" s="110"/>
      <c r="F53" s="110"/>
      <c r="G53" s="110"/>
      <c r="H53" s="110"/>
      <c r="I53" s="110"/>
      <c r="J53" s="110"/>
    </row>
    <row r="54" spans="2:10" ht="15.75" x14ac:dyDescent="0.25">
      <c r="B54" s="110"/>
      <c r="C54" s="110"/>
      <c r="D54" s="110"/>
      <c r="E54" s="110"/>
      <c r="F54" s="110"/>
      <c r="G54" s="110"/>
      <c r="H54" s="110"/>
      <c r="I54" s="110"/>
      <c r="J54" s="110"/>
    </row>
    <row r="55" spans="2:10" ht="15.75" x14ac:dyDescent="0.25">
      <c r="B55" s="110" t="s">
        <v>125</v>
      </c>
      <c r="C55" s="110"/>
      <c r="D55" s="110"/>
      <c r="E55" s="110"/>
      <c r="F55" s="110"/>
      <c r="G55" s="110"/>
      <c r="H55" s="110"/>
      <c r="I55" s="110"/>
      <c r="J55" s="110"/>
    </row>
    <row r="56" spans="2:10" ht="15.75" x14ac:dyDescent="0.25">
      <c r="B56" s="110" t="s">
        <v>126</v>
      </c>
      <c r="C56" s="110"/>
      <c r="D56" s="110"/>
      <c r="E56" s="110"/>
      <c r="F56" s="110"/>
      <c r="G56" s="110"/>
      <c r="H56" s="110"/>
      <c r="I56" s="110"/>
      <c r="J56" s="110"/>
    </row>
    <row r="57" spans="2:10" ht="15.75" x14ac:dyDescent="0.25">
      <c r="B57" s="110"/>
      <c r="C57" s="110"/>
      <c r="D57" s="110"/>
      <c r="E57" s="110"/>
      <c r="F57" s="110"/>
      <c r="G57" s="110"/>
      <c r="H57" s="110"/>
      <c r="I57" s="110"/>
      <c r="J57" s="110"/>
    </row>
    <row r="58" spans="2:10" ht="15.75" x14ac:dyDescent="0.25">
      <c r="B58" s="110" t="s">
        <v>127</v>
      </c>
      <c r="C58" s="110"/>
      <c r="D58" s="110"/>
      <c r="E58" s="110"/>
      <c r="F58" s="110"/>
      <c r="G58" s="110"/>
      <c r="H58" s="110"/>
      <c r="I58" s="110"/>
      <c r="J58" s="110"/>
    </row>
    <row r="59" spans="2:10" ht="15.75" x14ac:dyDescent="0.25">
      <c r="B59" s="110"/>
      <c r="C59" s="110"/>
      <c r="D59" s="110"/>
      <c r="E59" s="110"/>
      <c r="F59" s="110"/>
      <c r="G59" s="110"/>
      <c r="H59" s="110"/>
      <c r="I59" s="110"/>
      <c r="J59" s="110"/>
    </row>
    <row r="60" spans="2:10" ht="15.75" x14ac:dyDescent="0.25">
      <c r="B60" s="109" t="s">
        <v>128</v>
      </c>
      <c r="C60" s="110"/>
      <c r="D60" s="110"/>
      <c r="E60" s="110"/>
      <c r="F60" s="110"/>
      <c r="G60" s="110"/>
      <c r="H60" s="110"/>
      <c r="I60" s="110"/>
      <c r="J60" s="110"/>
    </row>
    <row r="61" spans="2:10" ht="15.75" x14ac:dyDescent="0.25">
      <c r="B61" s="110"/>
      <c r="C61" s="110"/>
      <c r="D61" s="110"/>
      <c r="E61" s="110"/>
      <c r="F61" s="110"/>
      <c r="G61" s="110"/>
      <c r="H61" s="110"/>
      <c r="I61" s="110"/>
      <c r="J61" s="110"/>
    </row>
    <row r="62" spans="2:10" ht="15.75" x14ac:dyDescent="0.25">
      <c r="B62" s="110" t="s">
        <v>129</v>
      </c>
      <c r="C62" s="110"/>
      <c r="D62" s="110"/>
      <c r="E62" s="110"/>
      <c r="F62" s="110"/>
      <c r="G62" s="110"/>
      <c r="H62" s="110"/>
      <c r="I62" s="110"/>
      <c r="J62" s="110"/>
    </row>
    <row r="63" spans="2:10" ht="15.75" x14ac:dyDescent="0.25">
      <c r="B63" s="110" t="s">
        <v>130</v>
      </c>
      <c r="C63" s="110"/>
      <c r="D63" s="110"/>
      <c r="E63" s="110"/>
      <c r="F63" s="110"/>
      <c r="G63" s="110"/>
      <c r="H63" s="110"/>
      <c r="I63" s="110"/>
      <c r="J63" s="110"/>
    </row>
    <row r="64" spans="2:10" ht="15.75" x14ac:dyDescent="0.25">
      <c r="B64" s="110" t="s">
        <v>7</v>
      </c>
      <c r="C64" s="110"/>
      <c r="D64" s="110"/>
      <c r="E64" s="110"/>
      <c r="F64" s="110"/>
      <c r="G64" s="110"/>
      <c r="H64" s="110"/>
      <c r="I64" s="110"/>
      <c r="J64" s="110"/>
    </row>
    <row r="65" spans="2:10" ht="15.75" x14ac:dyDescent="0.25">
      <c r="B65" s="110" t="s">
        <v>131</v>
      </c>
      <c r="C65" s="110"/>
      <c r="D65" s="110"/>
      <c r="E65" s="110"/>
      <c r="F65" s="110"/>
      <c r="G65" s="110"/>
      <c r="H65" s="110"/>
      <c r="I65" s="110"/>
      <c r="J65" s="110"/>
    </row>
    <row r="66" spans="2:10" ht="15.75" x14ac:dyDescent="0.25">
      <c r="B66" s="110"/>
      <c r="C66" s="110"/>
      <c r="D66" s="110"/>
      <c r="E66" s="110"/>
      <c r="F66" s="110"/>
      <c r="G66" s="110"/>
      <c r="H66" s="110"/>
      <c r="I66" s="110"/>
      <c r="J66" s="110"/>
    </row>
    <row r="67" spans="2:10" ht="15.75" x14ac:dyDescent="0.25">
      <c r="B67" s="110" t="s">
        <v>132</v>
      </c>
      <c r="C67" s="110"/>
      <c r="D67" s="110"/>
      <c r="E67" s="110"/>
      <c r="F67" s="110"/>
      <c r="G67" s="110"/>
      <c r="H67" s="110"/>
      <c r="I67" s="110"/>
      <c r="J67" s="110"/>
    </row>
    <row r="68" spans="2:10" ht="15.75" x14ac:dyDescent="0.25">
      <c r="B68" s="110"/>
      <c r="C68" s="110"/>
      <c r="D68" s="110"/>
      <c r="E68" s="110"/>
      <c r="F68" s="110"/>
      <c r="G68" s="110"/>
      <c r="H68" s="110"/>
      <c r="I68" s="110"/>
      <c r="J68" s="110"/>
    </row>
    <row r="69" spans="2:10" ht="15.75" x14ac:dyDescent="0.25">
      <c r="B69" s="110" t="s">
        <v>133</v>
      </c>
      <c r="C69" s="110"/>
      <c r="D69" s="110"/>
      <c r="E69" s="110"/>
      <c r="F69" s="110"/>
      <c r="G69" s="110"/>
      <c r="H69" s="110"/>
      <c r="I69" s="110"/>
      <c r="J69" s="110"/>
    </row>
    <row r="70" spans="2:10" ht="15.75" x14ac:dyDescent="0.25">
      <c r="B70" s="110"/>
      <c r="C70" s="110"/>
      <c r="D70" s="110"/>
      <c r="E70" s="110"/>
      <c r="F70" s="110"/>
      <c r="G70" s="110"/>
      <c r="H70" s="110"/>
      <c r="I70" s="110"/>
      <c r="J70" s="110"/>
    </row>
    <row r="71" spans="2:10" ht="15.75" x14ac:dyDescent="0.25">
      <c r="B71" s="110" t="s">
        <v>134</v>
      </c>
      <c r="C71" s="110"/>
      <c r="D71" s="110"/>
      <c r="E71" s="110"/>
      <c r="F71" s="110"/>
      <c r="G71" s="110"/>
      <c r="H71" s="110"/>
      <c r="I71" s="110"/>
      <c r="J71" s="110"/>
    </row>
    <row r="72" spans="2:10" ht="15.75" x14ac:dyDescent="0.25">
      <c r="B72" s="110"/>
      <c r="C72" s="110"/>
      <c r="D72" s="110"/>
      <c r="E72" s="110"/>
      <c r="F72" s="110"/>
      <c r="G72" s="110"/>
      <c r="H72" s="110"/>
      <c r="I72" s="110"/>
      <c r="J72" s="110"/>
    </row>
    <row r="73" spans="2:10" ht="15.75" x14ac:dyDescent="0.25">
      <c r="B73" s="110" t="s">
        <v>135</v>
      </c>
      <c r="C73" s="110"/>
      <c r="D73" s="110"/>
      <c r="E73" s="110"/>
      <c r="F73" s="110"/>
      <c r="G73" s="110"/>
      <c r="H73" s="110"/>
      <c r="I73" s="110"/>
      <c r="J73" s="110"/>
    </row>
    <row r="74" spans="2:10" ht="15.75" x14ac:dyDescent="0.25">
      <c r="B74" s="110" t="s">
        <v>136</v>
      </c>
      <c r="C74" s="110"/>
      <c r="D74" s="110"/>
      <c r="E74" s="110"/>
      <c r="F74" s="110"/>
      <c r="G74" s="110"/>
      <c r="H74" s="110"/>
      <c r="I74" s="110"/>
      <c r="J74" s="110"/>
    </row>
    <row r="75" spans="2:10" ht="15.75" x14ac:dyDescent="0.25">
      <c r="B75" s="110"/>
      <c r="C75" s="110"/>
      <c r="D75" s="110"/>
      <c r="E75" s="110"/>
      <c r="F75" s="110"/>
      <c r="G75" s="110"/>
      <c r="H75" s="110"/>
      <c r="I75" s="110"/>
      <c r="J75" s="110"/>
    </row>
    <row r="76" spans="2:10" ht="15.75" x14ac:dyDescent="0.25">
      <c r="B76" s="110" t="s">
        <v>137</v>
      </c>
      <c r="C76" s="110"/>
      <c r="D76" s="110"/>
      <c r="E76" s="110"/>
      <c r="F76" s="110"/>
      <c r="G76" s="110"/>
      <c r="H76" s="110"/>
      <c r="I76" s="110"/>
      <c r="J76" s="110"/>
    </row>
    <row r="77" spans="2:10" ht="15.75" x14ac:dyDescent="0.25">
      <c r="B77" s="110"/>
      <c r="C77" s="110"/>
      <c r="D77" s="110"/>
      <c r="E77" s="110"/>
      <c r="F77" s="110"/>
      <c r="G77" s="110"/>
      <c r="H77" s="110"/>
      <c r="I77" s="110"/>
      <c r="J77" s="110"/>
    </row>
    <row r="78" spans="2:10" ht="15.75" x14ac:dyDescent="0.25">
      <c r="B78" s="110" t="s">
        <v>138</v>
      </c>
      <c r="C78" s="110"/>
      <c r="D78" s="110"/>
      <c r="E78" s="110"/>
      <c r="F78" s="110"/>
      <c r="G78" s="110"/>
      <c r="H78" s="110"/>
      <c r="I78" s="110"/>
      <c r="J78" s="110"/>
    </row>
    <row r="79" spans="2:10" ht="15.75" x14ac:dyDescent="0.25">
      <c r="B79" s="110" t="s">
        <v>139</v>
      </c>
      <c r="C79" s="110"/>
      <c r="D79" s="110"/>
      <c r="E79" s="110"/>
      <c r="F79" s="110"/>
      <c r="G79" s="110"/>
      <c r="H79" s="110"/>
      <c r="I79" s="110"/>
      <c r="J79" s="110"/>
    </row>
    <row r="80" spans="2:10" ht="15.75" x14ac:dyDescent="0.25">
      <c r="B80" s="110" t="s">
        <v>140</v>
      </c>
      <c r="C80" s="110"/>
      <c r="D80" s="110"/>
      <c r="E80" s="110"/>
      <c r="F80" s="110"/>
      <c r="G80" s="110"/>
      <c r="H80" s="110"/>
      <c r="I80" s="110"/>
      <c r="J80" s="110"/>
    </row>
    <row r="81" spans="2:10" ht="15.75" x14ac:dyDescent="0.25">
      <c r="B81" s="110"/>
      <c r="C81" s="110"/>
      <c r="D81" s="110"/>
      <c r="E81" s="110"/>
      <c r="F81" s="110"/>
      <c r="G81" s="110"/>
      <c r="H81" s="110"/>
      <c r="I81" s="110"/>
      <c r="J81" s="110"/>
    </row>
    <row r="82" spans="2:10" ht="15.75" x14ac:dyDescent="0.25">
      <c r="B82" s="110" t="s">
        <v>141</v>
      </c>
      <c r="C82" s="110"/>
      <c r="D82" s="110"/>
      <c r="E82" s="110"/>
      <c r="F82" s="110"/>
      <c r="G82" s="110"/>
      <c r="H82" s="110"/>
      <c r="I82" s="110"/>
      <c r="J82" s="110"/>
    </row>
    <row r="83" spans="2:10" ht="15.75" x14ac:dyDescent="0.25">
      <c r="B83" s="110" t="s">
        <v>142</v>
      </c>
      <c r="C83" s="110"/>
      <c r="D83" s="110"/>
      <c r="E83" s="110"/>
      <c r="F83" s="110"/>
      <c r="G83" s="110"/>
      <c r="H83" s="110"/>
      <c r="I83" s="110"/>
      <c r="J83" s="110"/>
    </row>
    <row r="84" spans="2:10" ht="15.75" x14ac:dyDescent="0.25">
      <c r="B84" s="110"/>
      <c r="C84" s="110"/>
      <c r="D84" s="110"/>
      <c r="E84" s="110"/>
      <c r="F84" s="110"/>
      <c r="G84" s="110"/>
      <c r="H84" s="110"/>
      <c r="I84" s="110"/>
      <c r="J84" s="110"/>
    </row>
    <row r="85" spans="2:10" ht="15.75" x14ac:dyDescent="0.25">
      <c r="B85" s="110" t="s">
        <v>143</v>
      </c>
      <c r="C85" s="110"/>
      <c r="D85" s="110"/>
      <c r="E85" s="110"/>
      <c r="F85" s="110"/>
      <c r="G85" s="110"/>
      <c r="H85" s="110"/>
      <c r="I85" s="110"/>
      <c r="J85" s="110"/>
    </row>
    <row r="86" spans="2:10" ht="15.75" x14ac:dyDescent="0.25">
      <c r="B86" s="110"/>
      <c r="C86" s="110"/>
      <c r="D86" s="110"/>
      <c r="E86" s="110"/>
      <c r="F86" s="110"/>
      <c r="G86" s="110"/>
      <c r="H86" s="110"/>
      <c r="I86" s="110"/>
      <c r="J86" s="110"/>
    </row>
    <row r="87" spans="2:10" ht="15.75" x14ac:dyDescent="0.25">
      <c r="B87" s="110" t="s">
        <v>2209</v>
      </c>
      <c r="C87" s="110"/>
      <c r="D87" s="110"/>
      <c r="E87" s="110"/>
      <c r="F87" s="110" t="s">
        <v>144</v>
      </c>
      <c r="G87" s="110"/>
      <c r="H87" s="110"/>
      <c r="I87" s="110"/>
      <c r="J87" s="110"/>
    </row>
    <row r="88" spans="2:10" ht="15.75" x14ac:dyDescent="0.25">
      <c r="B88" s="110" t="s">
        <v>145</v>
      </c>
      <c r="C88" s="110"/>
      <c r="D88" s="110"/>
      <c r="E88" s="110"/>
      <c r="F88" s="110" t="s">
        <v>146</v>
      </c>
      <c r="G88" s="110"/>
      <c r="H88" s="110"/>
      <c r="I88" s="110"/>
      <c r="J88" s="110"/>
    </row>
    <row r="89" spans="2:10" ht="15.75" x14ac:dyDescent="0.25">
      <c r="B89" s="110" t="s">
        <v>54</v>
      </c>
      <c r="C89" s="110"/>
      <c r="D89" s="110"/>
      <c r="E89" s="110"/>
      <c r="F89" s="110" t="s">
        <v>147</v>
      </c>
      <c r="G89" s="110"/>
      <c r="H89" s="110"/>
      <c r="I89" s="110"/>
      <c r="J89" s="110"/>
    </row>
    <row r="90" spans="2:10" ht="15.75" x14ac:dyDescent="0.25">
      <c r="B90" s="110"/>
      <c r="C90" s="110"/>
      <c r="D90" s="110"/>
      <c r="E90" s="110"/>
      <c r="F90" s="110"/>
      <c r="G90" s="110"/>
      <c r="H90" s="110"/>
      <c r="I90" s="110"/>
      <c r="J90" s="110"/>
    </row>
    <row r="91" spans="2:10" ht="15.75" x14ac:dyDescent="0.25">
      <c r="B91" s="110"/>
      <c r="C91" s="110"/>
      <c r="D91" s="110"/>
      <c r="E91" s="110"/>
      <c r="F91" s="110"/>
      <c r="G91" s="110"/>
      <c r="H91" s="110"/>
      <c r="I91" s="110"/>
      <c r="J91" s="110"/>
    </row>
    <row r="92" spans="2:10" ht="15.75" x14ac:dyDescent="0.25">
      <c r="B92" s="109" t="s">
        <v>148</v>
      </c>
      <c r="C92" s="110"/>
      <c r="D92" s="110"/>
      <c r="E92" s="110"/>
      <c r="F92" s="110"/>
      <c r="G92" s="110"/>
      <c r="H92" s="110"/>
      <c r="I92" s="110"/>
      <c r="J92" s="110"/>
    </row>
    <row r="93" spans="2:10" ht="15.75" x14ac:dyDescent="0.25">
      <c r="B93" s="110"/>
      <c r="C93" s="110"/>
      <c r="D93" s="110"/>
      <c r="E93" s="110"/>
      <c r="F93" s="110"/>
      <c r="G93" s="110"/>
      <c r="H93" s="110"/>
      <c r="I93" s="110"/>
      <c r="J93" s="110"/>
    </row>
    <row r="94" spans="2:10" ht="15.75" x14ac:dyDescent="0.25">
      <c r="B94" s="110" t="s">
        <v>149</v>
      </c>
      <c r="C94" s="110"/>
      <c r="D94" s="110"/>
      <c r="E94" s="110"/>
      <c r="F94" s="110"/>
      <c r="G94" s="110"/>
      <c r="H94" s="110"/>
      <c r="I94" s="110"/>
      <c r="J94" s="110"/>
    </row>
    <row r="95" spans="2:10" ht="15.75" x14ac:dyDescent="0.25">
      <c r="B95" s="110" t="s">
        <v>150</v>
      </c>
      <c r="C95" s="110"/>
      <c r="D95" s="110"/>
      <c r="E95" s="110"/>
      <c r="F95" s="110"/>
      <c r="G95" s="110"/>
      <c r="H95" s="110"/>
      <c r="I95" s="110"/>
      <c r="J95" s="110"/>
    </row>
    <row r="96" spans="2:10" ht="15.75" x14ac:dyDescent="0.25">
      <c r="B96" s="110"/>
      <c r="C96" s="110"/>
      <c r="D96" s="110"/>
      <c r="E96" s="110"/>
      <c r="F96" s="110"/>
      <c r="G96" s="110"/>
      <c r="H96" s="110"/>
      <c r="I96" s="110"/>
      <c r="J96" s="110"/>
    </row>
    <row r="97" spans="2:10" ht="15.75" x14ac:dyDescent="0.25">
      <c r="B97" s="110" t="s">
        <v>151</v>
      </c>
      <c r="C97" s="110"/>
      <c r="D97" s="110"/>
      <c r="E97" s="110"/>
      <c r="F97" s="110"/>
      <c r="G97" s="110"/>
      <c r="H97" s="110"/>
      <c r="I97" s="110"/>
      <c r="J97" s="110"/>
    </row>
    <row r="98" spans="2:10" ht="15.75" x14ac:dyDescent="0.25">
      <c r="B98" s="110" t="s">
        <v>152</v>
      </c>
      <c r="C98" s="110"/>
      <c r="D98" s="110"/>
      <c r="E98" s="110"/>
      <c r="F98" s="110"/>
      <c r="G98" s="110"/>
      <c r="H98" s="110"/>
      <c r="I98" s="110"/>
      <c r="J98" s="110"/>
    </row>
    <row r="99" spans="2:10" ht="15.75" x14ac:dyDescent="0.25">
      <c r="B99" s="110" t="s">
        <v>153</v>
      </c>
      <c r="C99" s="110"/>
      <c r="D99" s="110"/>
      <c r="E99" s="110"/>
      <c r="F99" s="110"/>
      <c r="G99" s="110"/>
      <c r="H99" s="110"/>
      <c r="I99" s="110"/>
      <c r="J99" s="110"/>
    </row>
    <row r="100" spans="2:10" ht="15.75" x14ac:dyDescent="0.25">
      <c r="B100" s="110"/>
      <c r="C100" s="110"/>
      <c r="D100" s="110"/>
      <c r="E100" s="110"/>
      <c r="F100" s="110"/>
      <c r="G100" s="110"/>
      <c r="H100" s="110"/>
      <c r="I100" s="110"/>
      <c r="J100" s="110"/>
    </row>
    <row r="101" spans="2:10" ht="15.75" x14ac:dyDescent="0.25">
      <c r="B101" s="110" t="s">
        <v>154</v>
      </c>
      <c r="C101" s="110"/>
      <c r="D101" s="110"/>
      <c r="E101" s="110"/>
      <c r="F101" s="110"/>
      <c r="G101" s="110"/>
      <c r="H101" s="110"/>
      <c r="I101" s="110"/>
      <c r="J101" s="110"/>
    </row>
    <row r="102" spans="2:10" ht="15.75" x14ac:dyDescent="0.25">
      <c r="B102" s="110" t="s">
        <v>155</v>
      </c>
      <c r="C102" s="110"/>
      <c r="D102" s="110"/>
      <c r="E102" s="110"/>
      <c r="F102" s="110"/>
      <c r="G102" s="110"/>
      <c r="H102" s="110"/>
      <c r="I102" s="110"/>
      <c r="J102" s="110"/>
    </row>
    <row r="103" spans="2:10" ht="15.75" x14ac:dyDescent="0.25">
      <c r="B103" s="110" t="s">
        <v>156</v>
      </c>
      <c r="C103" s="110"/>
      <c r="D103" s="110"/>
      <c r="E103" s="110"/>
      <c r="F103" s="110"/>
      <c r="G103" s="110"/>
      <c r="H103" s="110"/>
      <c r="I103" s="110"/>
      <c r="J103" s="110"/>
    </row>
    <row r="104" spans="2:10" ht="15.75" x14ac:dyDescent="0.25">
      <c r="B104" s="110"/>
      <c r="C104" s="110"/>
      <c r="D104" s="110"/>
      <c r="E104" s="110"/>
      <c r="F104" s="110"/>
      <c r="G104" s="110"/>
      <c r="H104" s="110"/>
      <c r="I104" s="110"/>
      <c r="J104" s="110"/>
    </row>
    <row r="105" spans="2:10" ht="15.75" x14ac:dyDescent="0.25">
      <c r="B105" s="110" t="s">
        <v>157</v>
      </c>
      <c r="C105" s="110"/>
      <c r="D105" s="110"/>
      <c r="E105" s="110"/>
      <c r="F105" s="110"/>
      <c r="G105" s="110"/>
      <c r="H105" s="110"/>
      <c r="I105" s="110"/>
      <c r="J105" s="110"/>
    </row>
    <row r="106" spans="2:10" ht="15.75" x14ac:dyDescent="0.25">
      <c r="B106" s="110"/>
      <c r="C106" s="110"/>
      <c r="D106" s="110"/>
      <c r="E106" s="110"/>
      <c r="F106" s="110"/>
      <c r="G106" s="110"/>
      <c r="H106" s="110"/>
      <c r="I106" s="110"/>
      <c r="J106" s="110"/>
    </row>
    <row r="107" spans="2:10" ht="15.75" x14ac:dyDescent="0.25">
      <c r="B107" s="110"/>
      <c r="C107" s="110"/>
      <c r="D107" s="110"/>
      <c r="E107" s="110"/>
      <c r="F107" s="110"/>
      <c r="G107" s="110"/>
      <c r="H107" s="110"/>
      <c r="I107" s="110"/>
      <c r="J107" s="110"/>
    </row>
    <row r="108" spans="2:10" ht="15.75" x14ac:dyDescent="0.25">
      <c r="B108" s="109" t="s">
        <v>158</v>
      </c>
      <c r="C108" s="110"/>
      <c r="D108" s="110"/>
      <c r="E108" s="110"/>
      <c r="F108" s="110"/>
      <c r="G108" s="110"/>
      <c r="H108" s="110"/>
      <c r="I108" s="110"/>
      <c r="J108" s="110"/>
    </row>
    <row r="109" spans="2:10" ht="15.75" x14ac:dyDescent="0.25">
      <c r="B109" s="110"/>
      <c r="C109" s="110"/>
      <c r="D109" s="110"/>
      <c r="E109" s="110"/>
      <c r="F109" s="110"/>
      <c r="G109" s="110"/>
      <c r="H109" s="110"/>
      <c r="I109" s="110"/>
      <c r="J109" s="110"/>
    </row>
    <row r="110" spans="2:10" ht="15.75" x14ac:dyDescent="0.25">
      <c r="B110" s="110" t="s">
        <v>159</v>
      </c>
      <c r="C110" s="110"/>
      <c r="D110" s="110"/>
      <c r="E110" s="110"/>
      <c r="F110" s="110"/>
      <c r="G110" s="110"/>
      <c r="H110" s="110"/>
      <c r="I110" s="110"/>
      <c r="J110" s="110"/>
    </row>
    <row r="111" spans="2:10" ht="15.75" x14ac:dyDescent="0.25">
      <c r="B111" s="110"/>
      <c r="C111" s="110"/>
      <c r="D111" s="110"/>
      <c r="E111" s="110"/>
      <c r="F111" s="110"/>
      <c r="G111" s="110"/>
      <c r="H111" s="110"/>
      <c r="I111" s="110"/>
      <c r="J111" s="110"/>
    </row>
    <row r="112" spans="2:10" ht="15.75" x14ac:dyDescent="0.25">
      <c r="B112" s="109" t="s">
        <v>160</v>
      </c>
      <c r="C112" s="110"/>
      <c r="D112" s="110"/>
      <c r="E112" s="110"/>
      <c r="F112" s="110"/>
      <c r="G112" s="110"/>
      <c r="H112" s="110"/>
      <c r="I112" s="110"/>
      <c r="J112" s="110"/>
    </row>
    <row r="113" spans="2:10" ht="15.75" x14ac:dyDescent="0.25">
      <c r="B113" s="110"/>
      <c r="C113" s="110"/>
      <c r="D113" s="110"/>
      <c r="E113" s="110"/>
      <c r="F113" s="110"/>
      <c r="G113" s="110"/>
      <c r="H113" s="110"/>
      <c r="I113" s="110"/>
      <c r="J113" s="110"/>
    </row>
    <row r="114" spans="2:10" ht="15.75" x14ac:dyDescent="0.25">
      <c r="B114" s="110" t="s">
        <v>161</v>
      </c>
      <c r="C114" s="110"/>
      <c r="D114" s="110"/>
      <c r="E114" s="110"/>
      <c r="F114" s="110"/>
      <c r="G114" s="110"/>
      <c r="H114" s="110"/>
      <c r="I114" s="110"/>
      <c r="J114" s="110"/>
    </row>
    <row r="115" spans="2:10" ht="15.75" x14ac:dyDescent="0.25">
      <c r="B115" s="110" t="s">
        <v>162</v>
      </c>
      <c r="C115" s="110"/>
      <c r="D115" s="110"/>
      <c r="E115" s="110"/>
      <c r="F115" s="110"/>
      <c r="G115" s="110"/>
      <c r="H115" s="110"/>
      <c r="I115" s="110"/>
      <c r="J115" s="110"/>
    </row>
    <row r="116" spans="2:10" ht="15.75" x14ac:dyDescent="0.25">
      <c r="B116" s="110" t="s">
        <v>163</v>
      </c>
      <c r="C116" s="110"/>
      <c r="D116" s="110"/>
      <c r="E116" s="110"/>
      <c r="F116" s="110"/>
      <c r="G116" s="110"/>
      <c r="H116" s="110"/>
      <c r="I116" s="110"/>
      <c r="J116" s="110"/>
    </row>
    <row r="117" spans="2:10" ht="15.75" x14ac:dyDescent="0.25">
      <c r="B117" s="110"/>
      <c r="C117" s="110"/>
      <c r="D117" s="110"/>
      <c r="E117" s="110"/>
      <c r="F117" s="110"/>
      <c r="G117" s="110"/>
      <c r="H117" s="110"/>
      <c r="I117" s="110"/>
      <c r="J117" s="110"/>
    </row>
    <row r="118" spans="2:10" ht="15.75" x14ac:dyDescent="0.25">
      <c r="B118" s="110" t="s">
        <v>164</v>
      </c>
      <c r="C118" s="110"/>
      <c r="D118" s="110"/>
      <c r="E118" s="110"/>
      <c r="F118" s="110"/>
      <c r="G118" s="110"/>
      <c r="H118" s="110"/>
      <c r="I118" s="110"/>
      <c r="J118" s="110"/>
    </row>
    <row r="119" spans="2:10" ht="15.75" x14ac:dyDescent="0.25">
      <c r="B119" s="110"/>
      <c r="C119" s="110"/>
      <c r="D119" s="110"/>
      <c r="E119" s="110"/>
      <c r="F119" s="110"/>
      <c r="G119" s="110"/>
      <c r="H119" s="110"/>
      <c r="I119" s="110"/>
      <c r="J119" s="110"/>
    </row>
    <row r="120" spans="2:10" ht="15.75" x14ac:dyDescent="0.25">
      <c r="B120" s="109" t="s">
        <v>165</v>
      </c>
      <c r="C120" s="110"/>
      <c r="D120" s="110"/>
      <c r="E120" s="110"/>
      <c r="F120" s="110"/>
      <c r="G120" s="110"/>
      <c r="H120" s="110"/>
      <c r="I120" s="110"/>
      <c r="J120" s="110"/>
    </row>
    <row r="121" spans="2:10" ht="15.75" x14ac:dyDescent="0.25">
      <c r="B121" s="110"/>
      <c r="C121" s="110"/>
      <c r="D121" s="110"/>
      <c r="E121" s="110"/>
      <c r="F121" s="110"/>
      <c r="G121" s="110"/>
      <c r="H121" s="110"/>
      <c r="I121" s="110"/>
      <c r="J121" s="110"/>
    </row>
    <row r="122" spans="2:10" ht="15.75" x14ac:dyDescent="0.25">
      <c r="B122" s="110" t="s">
        <v>166</v>
      </c>
      <c r="C122" s="110"/>
      <c r="D122" s="110"/>
      <c r="E122" s="110"/>
      <c r="F122" s="110"/>
      <c r="G122" s="110"/>
      <c r="H122" s="110"/>
      <c r="I122" s="110"/>
      <c r="J122" s="110"/>
    </row>
    <row r="123" spans="2:10" ht="15.75" x14ac:dyDescent="0.25">
      <c r="B123" s="110" t="s">
        <v>167</v>
      </c>
      <c r="C123" s="110"/>
      <c r="D123" s="110"/>
      <c r="E123" s="110"/>
      <c r="F123" s="110"/>
      <c r="G123" s="110"/>
      <c r="H123" s="110"/>
      <c r="I123" s="110"/>
      <c r="J123" s="110"/>
    </row>
    <row r="124" spans="2:10" ht="15.75" x14ac:dyDescent="0.25">
      <c r="B124" s="110" t="s">
        <v>168</v>
      </c>
      <c r="C124" s="110"/>
      <c r="D124" s="110"/>
      <c r="E124" s="110"/>
      <c r="F124" s="110"/>
      <c r="G124" s="110"/>
      <c r="H124" s="110"/>
      <c r="I124" s="110"/>
      <c r="J124" s="110"/>
    </row>
    <row r="125" spans="2:10" ht="15.75" x14ac:dyDescent="0.25">
      <c r="B125" s="110"/>
      <c r="C125" s="110"/>
      <c r="D125" s="110"/>
      <c r="E125" s="110"/>
      <c r="F125" s="110"/>
      <c r="G125" s="110"/>
      <c r="H125" s="110"/>
      <c r="I125" s="110"/>
      <c r="J125" s="110"/>
    </row>
    <row r="126" spans="2:10" ht="15.75" x14ac:dyDescent="0.25">
      <c r="B126" s="109" t="s">
        <v>169</v>
      </c>
      <c r="C126" s="110"/>
      <c r="D126" s="110"/>
      <c r="E126" s="110"/>
      <c r="F126" s="110"/>
      <c r="G126" s="110"/>
      <c r="H126" s="110"/>
      <c r="I126" s="110"/>
      <c r="J126" s="110"/>
    </row>
    <row r="127" spans="2:10" ht="15.75" x14ac:dyDescent="0.25">
      <c r="B127" s="110"/>
      <c r="C127" s="110"/>
      <c r="D127" s="110"/>
      <c r="E127" s="110"/>
      <c r="F127" s="110"/>
      <c r="G127" s="110"/>
      <c r="H127" s="110"/>
      <c r="I127" s="110"/>
      <c r="J127" s="110"/>
    </row>
    <row r="128" spans="2:10" ht="15.75" x14ac:dyDescent="0.25">
      <c r="B128" s="110" t="s">
        <v>170</v>
      </c>
      <c r="C128" s="110"/>
      <c r="D128" s="110"/>
      <c r="E128" s="110"/>
      <c r="F128" s="110"/>
      <c r="G128" s="110"/>
      <c r="H128" s="110"/>
      <c r="I128" s="110"/>
      <c r="J128" s="110"/>
    </row>
    <row r="129" spans="2:10" ht="15.75" x14ac:dyDescent="0.25">
      <c r="B129" s="110" t="s">
        <v>171</v>
      </c>
      <c r="C129" s="110"/>
      <c r="D129" s="110"/>
      <c r="E129" s="110"/>
      <c r="F129" s="110"/>
      <c r="G129" s="110"/>
      <c r="H129" s="110"/>
      <c r="I129" s="110"/>
      <c r="J129" s="110"/>
    </row>
    <row r="130" spans="2:10" ht="15.75" x14ac:dyDescent="0.25">
      <c r="B130" s="110" t="s">
        <v>172</v>
      </c>
      <c r="C130" s="110"/>
      <c r="D130" s="110"/>
      <c r="E130" s="110"/>
      <c r="F130" s="110"/>
      <c r="G130" s="110"/>
      <c r="H130" s="110"/>
      <c r="I130" s="110"/>
      <c r="J130" s="110"/>
    </row>
    <row r="131" spans="2:10" ht="15.75" x14ac:dyDescent="0.25">
      <c r="B131" s="110" t="s">
        <v>173</v>
      </c>
      <c r="C131" s="110"/>
      <c r="D131" s="110"/>
      <c r="E131" s="110"/>
      <c r="F131" s="110"/>
      <c r="G131" s="110"/>
      <c r="H131" s="110"/>
      <c r="I131" s="110"/>
      <c r="J131" s="110"/>
    </row>
    <row r="132" spans="2:10" ht="15.75" x14ac:dyDescent="0.25">
      <c r="B132" s="110"/>
      <c r="C132" s="110"/>
      <c r="D132" s="110"/>
      <c r="E132" s="110"/>
      <c r="F132" s="110"/>
      <c r="G132" s="110"/>
      <c r="H132" s="110"/>
      <c r="I132" s="110"/>
      <c r="J132" s="110"/>
    </row>
    <row r="133" spans="2:10" ht="15.75" x14ac:dyDescent="0.25">
      <c r="B133" s="109" t="s">
        <v>174</v>
      </c>
      <c r="C133" s="110"/>
      <c r="D133" s="110"/>
      <c r="E133" s="110"/>
      <c r="F133" s="110"/>
      <c r="G133" s="110"/>
      <c r="H133" s="110"/>
      <c r="I133" s="110"/>
      <c r="J133" s="110"/>
    </row>
    <row r="134" spans="2:10" ht="15.75" x14ac:dyDescent="0.25">
      <c r="B134" s="110"/>
      <c r="C134" s="110"/>
      <c r="D134" s="110"/>
      <c r="E134" s="110"/>
      <c r="F134" s="110"/>
      <c r="G134" s="110"/>
      <c r="H134" s="110"/>
      <c r="I134" s="110"/>
      <c r="J134" s="110"/>
    </row>
    <row r="135" spans="2:10" ht="15.75" x14ac:dyDescent="0.25">
      <c r="B135" s="110" t="s">
        <v>175</v>
      </c>
      <c r="C135" s="110"/>
      <c r="D135" s="110"/>
      <c r="E135" s="110"/>
      <c r="F135" s="110"/>
      <c r="G135" s="110"/>
      <c r="H135" s="110"/>
      <c r="I135" s="110"/>
      <c r="J135" s="110"/>
    </row>
    <row r="136" spans="2:10" ht="15.75" x14ac:dyDescent="0.25">
      <c r="B136" s="110" t="s">
        <v>176</v>
      </c>
      <c r="C136" s="110"/>
      <c r="D136" s="110"/>
      <c r="E136" s="110"/>
      <c r="F136" s="110"/>
      <c r="G136" s="110"/>
      <c r="H136" s="110"/>
      <c r="I136" s="110"/>
      <c r="J136" s="110"/>
    </row>
    <row r="137" spans="2:10" ht="15.75" x14ac:dyDescent="0.25">
      <c r="B137" s="110"/>
      <c r="C137" s="110"/>
      <c r="D137" s="110"/>
      <c r="E137" s="110"/>
      <c r="F137" s="110"/>
      <c r="G137" s="110"/>
      <c r="H137" s="110"/>
      <c r="I137" s="110"/>
      <c r="J137" s="110"/>
    </row>
    <row r="138" spans="2:10" ht="15.75" x14ac:dyDescent="0.25">
      <c r="B138" s="110" t="s">
        <v>177</v>
      </c>
      <c r="C138" s="110"/>
      <c r="D138" s="110"/>
      <c r="E138" s="110"/>
      <c r="F138" s="110"/>
      <c r="G138" s="110"/>
      <c r="H138" s="110"/>
      <c r="I138" s="110"/>
      <c r="J138" s="110"/>
    </row>
    <row r="139" spans="2:10" ht="15.75" x14ac:dyDescent="0.25">
      <c r="B139" s="110" t="s">
        <v>178</v>
      </c>
      <c r="C139" s="110"/>
      <c r="D139" s="110"/>
      <c r="E139" s="110"/>
      <c r="F139" s="110"/>
      <c r="G139" s="110"/>
      <c r="H139" s="110"/>
      <c r="I139" s="110"/>
      <c r="J139" s="110"/>
    </row>
    <row r="140" spans="2:10" ht="15.75" x14ac:dyDescent="0.25">
      <c r="B140" s="110"/>
      <c r="C140" s="110"/>
      <c r="D140" s="110"/>
      <c r="E140" s="110"/>
      <c r="F140" s="110"/>
      <c r="G140" s="110"/>
      <c r="H140" s="110"/>
      <c r="I140" s="110"/>
      <c r="J140" s="110"/>
    </row>
    <row r="141" spans="2:10" ht="15.75" x14ac:dyDescent="0.25">
      <c r="B141" s="110" t="s">
        <v>179</v>
      </c>
      <c r="C141" s="110"/>
      <c r="D141" s="110"/>
      <c r="E141" s="110"/>
      <c r="F141" s="110"/>
      <c r="G141" s="110"/>
      <c r="H141" s="110"/>
      <c r="I141" s="110"/>
      <c r="J141" s="110"/>
    </row>
    <row r="142" spans="2:10" ht="15.75" x14ac:dyDescent="0.25">
      <c r="B142" s="110" t="s">
        <v>180</v>
      </c>
      <c r="C142" s="110"/>
      <c r="D142" s="110"/>
      <c r="E142" s="110"/>
      <c r="F142" s="110"/>
      <c r="G142" s="110"/>
      <c r="H142" s="110"/>
      <c r="I142" s="110"/>
      <c r="J142" s="110"/>
    </row>
    <row r="143" spans="2:10" ht="15.75" x14ac:dyDescent="0.25">
      <c r="B143" s="110"/>
      <c r="C143" s="110"/>
      <c r="D143" s="110"/>
      <c r="E143" s="110"/>
      <c r="F143" s="110"/>
      <c r="G143" s="110"/>
      <c r="H143" s="110"/>
      <c r="I143" s="110"/>
      <c r="J143" s="110"/>
    </row>
    <row r="144" spans="2:10" ht="15.75" x14ac:dyDescent="0.25">
      <c r="B144" s="110" t="s">
        <v>181</v>
      </c>
      <c r="C144" s="110"/>
      <c r="D144" s="110"/>
      <c r="E144" s="110"/>
      <c r="F144" s="110"/>
      <c r="G144" s="110"/>
      <c r="H144" s="110"/>
      <c r="I144" s="110"/>
      <c r="J144" s="110"/>
    </row>
    <row r="145" spans="2:10" ht="15.75" x14ac:dyDescent="0.25">
      <c r="B145" s="110"/>
      <c r="C145" s="110"/>
      <c r="D145" s="110"/>
      <c r="E145" s="110"/>
      <c r="F145" s="110"/>
      <c r="G145" s="110"/>
      <c r="H145" s="110"/>
      <c r="I145" s="110"/>
      <c r="J145" s="110"/>
    </row>
    <row r="146" spans="2:10" ht="15.75" x14ac:dyDescent="0.25">
      <c r="B146" s="110" t="s">
        <v>182</v>
      </c>
      <c r="C146" s="110"/>
      <c r="D146" s="110"/>
      <c r="E146" s="110"/>
      <c r="F146" s="110"/>
      <c r="G146" s="110"/>
      <c r="H146" s="110"/>
      <c r="I146" s="110"/>
      <c r="J146" s="110"/>
    </row>
    <row r="147" spans="2:10" ht="15.75" x14ac:dyDescent="0.25">
      <c r="B147" s="110"/>
      <c r="C147" s="110"/>
      <c r="D147" s="110"/>
      <c r="E147" s="110"/>
      <c r="F147" s="110"/>
      <c r="G147" s="110"/>
      <c r="H147" s="110"/>
      <c r="I147" s="110"/>
      <c r="J147" s="110"/>
    </row>
    <row r="148" spans="2:10" ht="15.75" x14ac:dyDescent="0.25">
      <c r="B148" s="110" t="s">
        <v>183</v>
      </c>
      <c r="C148" s="110"/>
      <c r="D148" s="110"/>
      <c r="E148" s="110"/>
      <c r="F148" s="110"/>
      <c r="G148" s="110"/>
      <c r="H148" s="110"/>
      <c r="I148" s="110"/>
      <c r="J148" s="110"/>
    </row>
    <row r="149" spans="2:10" ht="15.75" x14ac:dyDescent="0.25">
      <c r="B149" s="110" t="s">
        <v>184</v>
      </c>
      <c r="C149" s="110"/>
      <c r="D149" s="110"/>
      <c r="E149" s="110"/>
      <c r="F149" s="110"/>
      <c r="G149" s="110"/>
      <c r="H149" s="110"/>
      <c r="I149" s="110"/>
      <c r="J149" s="110"/>
    </row>
    <row r="150" spans="2:10" ht="15.75" x14ac:dyDescent="0.25">
      <c r="B150" s="110"/>
      <c r="C150" s="110"/>
      <c r="D150" s="110"/>
      <c r="E150" s="110"/>
      <c r="F150" s="110"/>
      <c r="G150" s="110"/>
      <c r="H150" s="110"/>
      <c r="I150" s="110"/>
      <c r="J150" s="110"/>
    </row>
    <row r="151" spans="2:10" ht="15.75" x14ac:dyDescent="0.25">
      <c r="B151" s="110" t="s">
        <v>185</v>
      </c>
      <c r="C151" s="110"/>
      <c r="D151" s="110"/>
      <c r="E151" s="110"/>
      <c r="F151" s="110"/>
      <c r="G151" s="110"/>
      <c r="H151" s="110"/>
      <c r="I151" s="110"/>
      <c r="J151" s="110"/>
    </row>
    <row r="152" spans="2:10" ht="15.75" x14ac:dyDescent="0.25">
      <c r="B152" s="110"/>
      <c r="C152" s="110"/>
      <c r="D152" s="110"/>
      <c r="E152" s="110"/>
      <c r="F152" s="110"/>
      <c r="G152" s="110"/>
      <c r="H152" s="110"/>
      <c r="I152" s="110"/>
      <c r="J152" s="110"/>
    </row>
    <row r="153" spans="2:10" ht="15.75" x14ac:dyDescent="0.25">
      <c r="B153" s="110" t="s">
        <v>186</v>
      </c>
      <c r="C153" s="110"/>
      <c r="D153" s="110"/>
      <c r="E153" s="110"/>
      <c r="F153" s="110"/>
      <c r="G153" s="110"/>
      <c r="H153" s="110"/>
      <c r="I153" s="110"/>
      <c r="J153" s="110"/>
    </row>
    <row r="154" spans="2:10" ht="15.75" x14ac:dyDescent="0.25">
      <c r="B154" s="110" t="s">
        <v>187</v>
      </c>
      <c r="C154" s="110"/>
      <c r="D154" s="110"/>
      <c r="E154" s="110"/>
      <c r="F154" s="110"/>
      <c r="G154" s="110"/>
      <c r="H154" s="110"/>
      <c r="I154" s="110"/>
      <c r="J154" s="110"/>
    </row>
    <row r="155" spans="2:10" ht="15.75" x14ac:dyDescent="0.25">
      <c r="B155" s="110" t="s">
        <v>188</v>
      </c>
      <c r="C155" s="110"/>
      <c r="D155" s="110"/>
      <c r="E155" s="110"/>
      <c r="F155" s="110"/>
      <c r="G155" s="110"/>
      <c r="H155" s="110"/>
      <c r="I155" s="110"/>
      <c r="J155" s="110"/>
    </row>
    <row r="156" spans="2:10" ht="15.75" x14ac:dyDescent="0.25">
      <c r="B156" s="110"/>
      <c r="C156" s="110"/>
      <c r="D156" s="110"/>
      <c r="E156" s="110"/>
      <c r="F156" s="110"/>
      <c r="G156" s="110"/>
      <c r="H156" s="110"/>
      <c r="I156" s="110"/>
      <c r="J156" s="110"/>
    </row>
    <row r="157" spans="2:10" ht="15.75" x14ac:dyDescent="0.25">
      <c r="B157" s="110" t="s">
        <v>189</v>
      </c>
      <c r="C157" s="110"/>
      <c r="D157" s="110"/>
      <c r="E157" s="110"/>
      <c r="F157" s="110"/>
      <c r="G157" s="110"/>
      <c r="H157" s="110"/>
      <c r="I157" s="110"/>
      <c r="J157" s="110"/>
    </row>
    <row r="158" spans="2:10" ht="15.75" x14ac:dyDescent="0.25">
      <c r="B158" s="110" t="s">
        <v>190</v>
      </c>
      <c r="C158" s="110"/>
      <c r="D158" s="110"/>
      <c r="E158" s="110"/>
      <c r="F158" s="110"/>
      <c r="G158" s="110"/>
      <c r="H158" s="110"/>
      <c r="I158" s="110"/>
      <c r="J158" s="110"/>
    </row>
    <row r="159" spans="2:10" ht="15.75" x14ac:dyDescent="0.25">
      <c r="B159" s="110"/>
      <c r="C159" s="110"/>
      <c r="D159" s="110"/>
      <c r="E159" s="110"/>
      <c r="F159" s="110"/>
      <c r="G159" s="110"/>
      <c r="H159" s="110"/>
      <c r="I159" s="110"/>
      <c r="J159" s="110"/>
    </row>
    <row r="160" spans="2:10" ht="15.75" x14ac:dyDescent="0.25">
      <c r="B160" s="110"/>
      <c r="C160" s="110"/>
      <c r="D160" s="110"/>
      <c r="E160" s="110"/>
      <c r="F160" s="110"/>
      <c r="G160" s="110"/>
      <c r="H160" s="110"/>
      <c r="I160" s="110"/>
      <c r="J160" s="110"/>
    </row>
    <row r="161" spans="2:10" ht="15.75" x14ac:dyDescent="0.25">
      <c r="B161" s="109" t="s">
        <v>191</v>
      </c>
      <c r="C161" s="110"/>
      <c r="D161" s="110"/>
      <c r="E161" s="110"/>
      <c r="F161" s="110"/>
      <c r="G161" s="110"/>
      <c r="H161" s="110"/>
      <c r="I161" s="110"/>
      <c r="J161" s="110"/>
    </row>
    <row r="162" spans="2:10" ht="15.75" x14ac:dyDescent="0.25">
      <c r="B162" s="110"/>
      <c r="C162" s="110"/>
      <c r="D162" s="110"/>
      <c r="E162" s="110"/>
      <c r="F162" s="110"/>
      <c r="G162" s="110"/>
      <c r="H162" s="110"/>
      <c r="I162" s="110"/>
      <c r="J162" s="110"/>
    </row>
    <row r="163" spans="2:10" ht="15.75" x14ac:dyDescent="0.25">
      <c r="B163" s="110" t="s">
        <v>192</v>
      </c>
      <c r="C163" s="110"/>
      <c r="D163" s="110"/>
      <c r="E163" s="110"/>
      <c r="F163" s="110"/>
      <c r="G163" s="110"/>
      <c r="H163" s="110"/>
      <c r="I163" s="110"/>
      <c r="J163" s="110"/>
    </row>
    <row r="164" spans="2:10" ht="15.75" x14ac:dyDescent="0.25">
      <c r="B164" s="110" t="s">
        <v>193</v>
      </c>
      <c r="C164" s="110"/>
      <c r="D164" s="110"/>
      <c r="E164" s="110"/>
      <c r="F164" s="110"/>
      <c r="G164" s="110"/>
      <c r="H164" s="110"/>
      <c r="I164" s="110"/>
      <c r="J164" s="110"/>
    </row>
    <row r="165" spans="2:10" ht="15.75" x14ac:dyDescent="0.25">
      <c r="B165" s="110"/>
      <c r="C165" s="110"/>
      <c r="D165" s="110"/>
      <c r="E165" s="110"/>
      <c r="F165" s="110"/>
      <c r="G165" s="110"/>
      <c r="H165" s="110"/>
      <c r="I165" s="110"/>
      <c r="J165" s="110"/>
    </row>
    <row r="166" spans="2:10" ht="15.75" x14ac:dyDescent="0.25">
      <c r="B166" s="110"/>
      <c r="C166" s="110"/>
      <c r="D166" s="110"/>
      <c r="E166" s="110"/>
      <c r="F166" s="110"/>
      <c r="G166" s="110"/>
      <c r="H166" s="110"/>
      <c r="I166" s="110"/>
      <c r="J166" s="110"/>
    </row>
    <row r="167" spans="2:10" ht="15.75" x14ac:dyDescent="0.25">
      <c r="B167" s="109" t="s">
        <v>194</v>
      </c>
      <c r="C167" s="110"/>
      <c r="D167" s="110"/>
      <c r="E167" s="110"/>
      <c r="F167" s="110"/>
      <c r="G167" s="110"/>
      <c r="H167" s="110"/>
      <c r="I167" s="110"/>
      <c r="J167" s="110"/>
    </row>
    <row r="168" spans="2:10" ht="15.75" x14ac:dyDescent="0.25">
      <c r="B168" s="110"/>
      <c r="C168" s="110"/>
      <c r="D168" s="110"/>
      <c r="E168" s="110"/>
      <c r="F168" s="110"/>
      <c r="G168" s="110"/>
      <c r="H168" s="110"/>
      <c r="I168" s="110"/>
      <c r="J168" s="110"/>
    </row>
    <row r="169" spans="2:10" ht="15.75" x14ac:dyDescent="0.25">
      <c r="B169" s="110" t="s">
        <v>195</v>
      </c>
      <c r="C169" s="110"/>
      <c r="D169" s="110"/>
      <c r="E169" s="110"/>
      <c r="F169" s="110"/>
      <c r="G169" s="110"/>
      <c r="H169" s="110"/>
      <c r="I169" s="110"/>
      <c r="J169" s="110"/>
    </row>
    <row r="170" spans="2:10" ht="15.75" x14ac:dyDescent="0.25">
      <c r="B170" s="110" t="s">
        <v>196</v>
      </c>
      <c r="C170" s="110"/>
      <c r="D170" s="110"/>
      <c r="E170" s="110"/>
      <c r="F170" s="110"/>
      <c r="G170" s="110"/>
      <c r="H170" s="110"/>
      <c r="I170" s="110"/>
      <c r="J170" s="110"/>
    </row>
    <row r="171" spans="2:10" ht="15.75" x14ac:dyDescent="0.25">
      <c r="B171" s="110"/>
      <c r="C171" s="110"/>
      <c r="D171" s="110"/>
      <c r="E171" s="110"/>
      <c r="F171" s="110"/>
      <c r="G171" s="110"/>
      <c r="H171" s="110"/>
      <c r="I171" s="110"/>
      <c r="J171" s="110"/>
    </row>
    <row r="172" spans="2:10" ht="15.75" x14ac:dyDescent="0.25">
      <c r="B172" s="109" t="s">
        <v>7</v>
      </c>
      <c r="C172" s="110"/>
      <c r="D172" s="110"/>
      <c r="E172" s="110"/>
      <c r="F172" s="110"/>
      <c r="G172" s="110"/>
      <c r="H172" s="110"/>
      <c r="I172" s="110"/>
      <c r="J172" s="110"/>
    </row>
    <row r="173" spans="2:10" ht="15.75" x14ac:dyDescent="0.25">
      <c r="B173" s="109" t="s">
        <v>197</v>
      </c>
      <c r="C173" s="110"/>
      <c r="D173" s="110"/>
      <c r="E173" s="110"/>
      <c r="F173" s="110"/>
      <c r="G173" s="110"/>
      <c r="H173" s="110"/>
      <c r="I173" s="110"/>
      <c r="J173" s="110"/>
    </row>
    <row r="174" spans="2:10" ht="15.75" x14ac:dyDescent="0.25">
      <c r="B174" s="110"/>
      <c r="C174" s="110"/>
      <c r="D174" s="110"/>
      <c r="E174" s="110"/>
      <c r="F174" s="110"/>
      <c r="G174" s="110"/>
      <c r="H174" s="110"/>
      <c r="I174" s="110"/>
      <c r="J174" s="110"/>
    </row>
    <row r="175" spans="2:10" ht="15.75" x14ac:dyDescent="0.25">
      <c r="B175" s="110" t="s">
        <v>198</v>
      </c>
      <c r="C175" s="110"/>
      <c r="D175" s="110"/>
      <c r="E175" s="110"/>
      <c r="F175" s="110"/>
      <c r="G175" s="110"/>
      <c r="H175" s="110"/>
      <c r="I175" s="110"/>
      <c r="J175" s="110"/>
    </row>
    <row r="176" spans="2:10" ht="15.75" x14ac:dyDescent="0.25">
      <c r="B176" s="110" t="s">
        <v>199</v>
      </c>
      <c r="C176" s="110"/>
      <c r="D176" s="110"/>
      <c r="E176" s="110"/>
      <c r="F176" s="110"/>
      <c r="G176" s="110"/>
      <c r="H176" s="110"/>
      <c r="I176" s="110"/>
      <c r="J176" s="110"/>
    </row>
    <row r="177" spans="2:10" ht="15.75" x14ac:dyDescent="0.25">
      <c r="B177" s="110" t="s">
        <v>200</v>
      </c>
      <c r="C177" s="110"/>
      <c r="D177" s="110"/>
      <c r="E177" s="110"/>
      <c r="F177" s="110"/>
      <c r="G177" s="110"/>
      <c r="H177" s="110"/>
      <c r="I177" s="110"/>
      <c r="J177" s="110"/>
    </row>
    <row r="178" spans="2:10" ht="15.75" x14ac:dyDescent="0.25">
      <c r="B178" s="110"/>
      <c r="C178" s="110"/>
      <c r="D178" s="110"/>
      <c r="E178" s="110"/>
      <c r="F178" s="110"/>
      <c r="G178" s="110"/>
      <c r="H178" s="110"/>
      <c r="I178" s="110"/>
      <c r="J178" s="110"/>
    </row>
    <row r="179" spans="2:10" ht="15.75" x14ac:dyDescent="0.25">
      <c r="B179" s="109" t="s">
        <v>201</v>
      </c>
      <c r="C179" s="110"/>
      <c r="D179" s="110"/>
      <c r="E179" s="110"/>
      <c r="F179" s="110"/>
      <c r="G179" s="110"/>
      <c r="H179" s="110"/>
      <c r="I179" s="110"/>
      <c r="J179" s="110"/>
    </row>
    <row r="180" spans="2:10" ht="15.75" x14ac:dyDescent="0.25">
      <c r="B180" s="110"/>
      <c r="C180" s="110"/>
      <c r="D180" s="110"/>
      <c r="E180" s="110"/>
      <c r="F180" s="110"/>
      <c r="G180" s="110"/>
      <c r="H180" s="110"/>
      <c r="I180" s="110"/>
      <c r="J180" s="110"/>
    </row>
    <row r="181" spans="2:10" ht="15.75" x14ac:dyDescent="0.25">
      <c r="B181" s="110" t="s">
        <v>202</v>
      </c>
      <c r="C181" s="110"/>
      <c r="D181" s="110"/>
      <c r="E181" s="110"/>
      <c r="F181" s="110"/>
      <c r="G181" s="110"/>
      <c r="H181" s="110"/>
      <c r="I181" s="110"/>
      <c r="J181" s="110"/>
    </row>
    <row r="182" spans="2:10" ht="15.75" x14ac:dyDescent="0.25">
      <c r="B182" s="110" t="s">
        <v>203</v>
      </c>
      <c r="C182" s="110"/>
      <c r="D182" s="110"/>
      <c r="E182" s="110"/>
      <c r="F182" s="110"/>
      <c r="G182" s="110"/>
      <c r="H182" s="110"/>
      <c r="I182" s="110"/>
      <c r="J182" s="110"/>
    </row>
    <row r="183" spans="2:10" ht="15.75" x14ac:dyDescent="0.25">
      <c r="B183" s="110"/>
      <c r="C183" s="110"/>
      <c r="D183" s="110"/>
      <c r="E183" s="110"/>
      <c r="F183" s="110"/>
      <c r="G183" s="110"/>
      <c r="H183" s="110"/>
      <c r="I183" s="110"/>
      <c r="J183" s="110"/>
    </row>
    <row r="184" spans="2:10" ht="15.75" x14ac:dyDescent="0.25">
      <c r="B184" s="110" t="s">
        <v>204</v>
      </c>
      <c r="C184" s="110"/>
      <c r="D184" s="110"/>
      <c r="E184" s="110"/>
      <c r="F184" s="110"/>
      <c r="G184" s="110"/>
      <c r="H184" s="110"/>
      <c r="I184" s="110"/>
      <c r="J184" s="110"/>
    </row>
    <row r="185" spans="2:10" ht="15.75" x14ac:dyDescent="0.25">
      <c r="B185" s="110" t="s">
        <v>205</v>
      </c>
      <c r="C185" s="110"/>
      <c r="D185" s="110"/>
      <c r="E185" s="110"/>
      <c r="F185" s="110"/>
      <c r="G185" s="110"/>
      <c r="H185" s="110"/>
      <c r="I185" s="110"/>
      <c r="J185" s="110"/>
    </row>
    <row r="186" spans="2:10" ht="15.75" x14ac:dyDescent="0.25">
      <c r="B186" s="110"/>
      <c r="C186" s="110"/>
      <c r="D186" s="110"/>
      <c r="E186" s="110"/>
      <c r="F186" s="110"/>
      <c r="G186" s="110"/>
      <c r="H186" s="110"/>
      <c r="I186" s="110"/>
      <c r="J186" s="110"/>
    </row>
    <row r="187" spans="2:10" ht="15.75" x14ac:dyDescent="0.25">
      <c r="B187" s="109" t="s">
        <v>206</v>
      </c>
      <c r="C187" s="110"/>
      <c r="D187" s="110"/>
      <c r="E187" s="110"/>
      <c r="F187" s="110"/>
      <c r="G187" s="110"/>
      <c r="H187" s="110"/>
      <c r="I187" s="110"/>
      <c r="J187" s="110"/>
    </row>
    <row r="188" spans="2:10" ht="15.75" x14ac:dyDescent="0.25">
      <c r="B188" s="110"/>
      <c r="C188" s="110"/>
      <c r="D188" s="110"/>
      <c r="E188" s="110"/>
      <c r="F188" s="110"/>
      <c r="G188" s="110"/>
      <c r="H188" s="110"/>
      <c r="I188" s="110"/>
      <c r="J188" s="110"/>
    </row>
    <row r="189" spans="2:10" ht="15.75" x14ac:dyDescent="0.25">
      <c r="B189" s="110" t="s">
        <v>207</v>
      </c>
      <c r="C189" s="110"/>
      <c r="D189" s="110"/>
      <c r="E189" s="110"/>
      <c r="F189" s="110"/>
      <c r="G189" s="110"/>
      <c r="H189" s="110"/>
      <c r="I189" s="110"/>
      <c r="J189" s="110"/>
    </row>
    <row r="190" spans="2:10" ht="15.75" x14ac:dyDescent="0.25">
      <c r="B190" s="110" t="s">
        <v>208</v>
      </c>
      <c r="C190" s="110"/>
      <c r="D190" s="110"/>
      <c r="E190" s="110"/>
      <c r="F190" s="110"/>
      <c r="G190" s="110"/>
      <c r="H190" s="110"/>
      <c r="I190" s="110"/>
      <c r="J190" s="110"/>
    </row>
    <row r="191" spans="2:10" ht="15.75" x14ac:dyDescent="0.25">
      <c r="B191" s="110"/>
      <c r="C191" s="110"/>
      <c r="D191" s="110"/>
      <c r="E191" s="110"/>
      <c r="F191" s="110"/>
      <c r="G191" s="110"/>
      <c r="H191" s="110"/>
      <c r="I191" s="110"/>
      <c r="J191" s="110"/>
    </row>
    <row r="192" spans="2:10" ht="15.75" x14ac:dyDescent="0.25">
      <c r="B192" s="110"/>
      <c r="C192" s="110"/>
      <c r="D192" s="110"/>
      <c r="E192" s="110"/>
      <c r="F192" s="110"/>
      <c r="G192" s="110"/>
      <c r="H192" s="110"/>
      <c r="I192" s="110"/>
      <c r="J192" s="110"/>
    </row>
    <row r="193" spans="2:10" ht="15.75" x14ac:dyDescent="0.25">
      <c r="B193" s="109" t="s">
        <v>209</v>
      </c>
      <c r="C193" s="110"/>
      <c r="D193" s="110"/>
      <c r="E193" s="110"/>
      <c r="F193" s="110"/>
      <c r="G193" s="110"/>
      <c r="H193" s="110"/>
      <c r="I193" s="110"/>
      <c r="J193" s="110"/>
    </row>
    <row r="194" spans="2:10" ht="15.75" x14ac:dyDescent="0.25">
      <c r="B194" s="110"/>
      <c r="C194" s="110"/>
      <c r="D194" s="110"/>
      <c r="E194" s="110"/>
      <c r="F194" s="110"/>
      <c r="G194" s="110"/>
      <c r="H194" s="110"/>
      <c r="I194" s="110"/>
      <c r="J194" s="110"/>
    </row>
    <row r="195" spans="2:10" ht="15.75" x14ac:dyDescent="0.25">
      <c r="B195" s="110" t="s">
        <v>210</v>
      </c>
      <c r="C195" s="110"/>
      <c r="D195" s="110"/>
      <c r="E195" s="110"/>
      <c r="F195" s="110"/>
      <c r="G195" s="110"/>
      <c r="H195" s="110"/>
      <c r="I195" s="110"/>
      <c r="J195" s="110"/>
    </row>
    <row r="196" spans="2:10" ht="15.75" x14ac:dyDescent="0.25">
      <c r="B196" s="110" t="s">
        <v>211</v>
      </c>
      <c r="C196" s="110"/>
      <c r="D196" s="110"/>
      <c r="E196" s="110"/>
      <c r="F196" s="110"/>
      <c r="G196" s="110"/>
      <c r="H196" s="110"/>
      <c r="I196" s="110"/>
      <c r="J196" s="110"/>
    </row>
    <row r="197" spans="2:10" ht="15.75" x14ac:dyDescent="0.25">
      <c r="B197" s="110" t="s">
        <v>212</v>
      </c>
      <c r="C197" s="110"/>
      <c r="D197" s="110"/>
      <c r="E197" s="110"/>
      <c r="F197" s="110"/>
      <c r="G197" s="110"/>
      <c r="H197" s="110"/>
      <c r="I197" s="110"/>
      <c r="J197" s="110"/>
    </row>
    <row r="198" spans="2:10" ht="15.75" x14ac:dyDescent="0.25">
      <c r="B198" s="110"/>
      <c r="C198" s="110"/>
      <c r="D198" s="110"/>
      <c r="E198" s="110"/>
      <c r="F198" s="110"/>
      <c r="G198" s="110"/>
      <c r="H198" s="110"/>
      <c r="I198" s="110"/>
      <c r="J198" s="110"/>
    </row>
    <row r="199" spans="2:10" ht="15.75" x14ac:dyDescent="0.25">
      <c r="B199" s="110" t="s">
        <v>213</v>
      </c>
      <c r="C199" s="110"/>
      <c r="D199" s="110"/>
      <c r="E199" s="110"/>
      <c r="F199" s="110"/>
      <c r="G199" s="110"/>
      <c r="H199" s="110"/>
      <c r="I199" s="110"/>
      <c r="J199" s="110"/>
    </row>
    <row r="200" spans="2:10" ht="15.75" x14ac:dyDescent="0.25">
      <c r="B200" s="110" t="s">
        <v>214</v>
      </c>
      <c r="C200" s="110"/>
      <c r="D200" s="110"/>
      <c r="E200" s="110"/>
      <c r="F200" s="110"/>
      <c r="G200" s="110"/>
      <c r="H200" s="110"/>
      <c r="I200" s="110"/>
      <c r="J200" s="110"/>
    </row>
    <row r="201" spans="2:10" ht="15.75" x14ac:dyDescent="0.25">
      <c r="B201" s="110"/>
      <c r="C201" s="110"/>
      <c r="D201" s="110"/>
      <c r="E201" s="110"/>
      <c r="F201" s="110"/>
      <c r="G201" s="110"/>
      <c r="H201" s="110"/>
      <c r="I201" s="110"/>
      <c r="J201" s="110"/>
    </row>
    <row r="202" spans="2:10" ht="15.75" x14ac:dyDescent="0.25">
      <c r="B202" s="110"/>
      <c r="C202" s="110"/>
      <c r="D202" s="110"/>
      <c r="E202" s="110"/>
      <c r="F202" s="110"/>
      <c r="G202" s="110"/>
      <c r="H202" s="110"/>
      <c r="I202" s="110"/>
      <c r="J202" s="110"/>
    </row>
    <row r="203" spans="2:10" ht="15.75" x14ac:dyDescent="0.25">
      <c r="B203" s="109" t="s">
        <v>215</v>
      </c>
      <c r="C203" s="110"/>
      <c r="D203" s="110"/>
      <c r="E203" s="110"/>
      <c r="F203" s="110"/>
      <c r="G203" s="110"/>
      <c r="H203" s="110"/>
      <c r="I203" s="110"/>
      <c r="J203" s="110"/>
    </row>
    <row r="204" spans="2:10" ht="15.75" x14ac:dyDescent="0.25">
      <c r="B204" s="110"/>
      <c r="C204" s="110"/>
      <c r="D204" s="110"/>
      <c r="E204" s="110"/>
      <c r="F204" s="110"/>
      <c r="G204" s="110"/>
      <c r="H204" s="110"/>
      <c r="I204" s="110"/>
      <c r="J204" s="110"/>
    </row>
    <row r="205" spans="2:10" ht="15.75" x14ac:dyDescent="0.25">
      <c r="B205" s="110" t="s">
        <v>216</v>
      </c>
      <c r="C205" s="110"/>
      <c r="D205" s="110"/>
      <c r="E205" s="110"/>
      <c r="F205" s="110"/>
      <c r="G205" s="110"/>
      <c r="H205" s="110"/>
      <c r="I205" s="110"/>
      <c r="J205" s="110"/>
    </row>
    <row r="206" spans="2:10" ht="15.75" x14ac:dyDescent="0.25">
      <c r="B206" s="110" t="s">
        <v>217</v>
      </c>
      <c r="C206" s="110"/>
      <c r="D206" s="110"/>
      <c r="E206" s="110"/>
      <c r="F206" s="110"/>
      <c r="G206" s="110"/>
      <c r="H206" s="110"/>
      <c r="I206" s="110"/>
      <c r="J206" s="110"/>
    </row>
    <row r="207" spans="2:10" ht="15.75" x14ac:dyDescent="0.25">
      <c r="B207" s="110" t="s">
        <v>218</v>
      </c>
      <c r="C207" s="110"/>
      <c r="D207" s="110"/>
      <c r="E207" s="110"/>
      <c r="F207" s="110"/>
      <c r="G207" s="110"/>
      <c r="H207" s="110"/>
      <c r="I207" s="110"/>
      <c r="J207" s="110"/>
    </row>
    <row r="208" spans="2:10" ht="15.75" x14ac:dyDescent="0.25">
      <c r="B208" s="110"/>
      <c r="C208" s="110"/>
      <c r="D208" s="110"/>
      <c r="E208" s="110"/>
      <c r="F208" s="110"/>
      <c r="G208" s="110"/>
      <c r="H208" s="110"/>
      <c r="I208" s="110"/>
      <c r="J208" s="110"/>
    </row>
    <row r="209" spans="2:10" ht="15.75" x14ac:dyDescent="0.25">
      <c r="B209" s="110" t="s">
        <v>219</v>
      </c>
      <c r="C209" s="110"/>
      <c r="D209" s="110"/>
      <c r="E209" s="110"/>
      <c r="F209" s="110"/>
      <c r="G209" s="110"/>
      <c r="H209" s="110"/>
      <c r="I209" s="110"/>
      <c r="J209" s="110"/>
    </row>
    <row r="210" spans="2:10" ht="15.75" x14ac:dyDescent="0.25">
      <c r="B210" s="110" t="s">
        <v>220</v>
      </c>
      <c r="C210" s="110"/>
      <c r="D210" s="110"/>
      <c r="E210" s="110"/>
      <c r="F210" s="110"/>
      <c r="G210" s="110"/>
      <c r="H210" s="110"/>
      <c r="I210" s="110"/>
      <c r="J210" s="110"/>
    </row>
    <row r="211" spans="2:10" ht="15.75" x14ac:dyDescent="0.25">
      <c r="B211" s="110"/>
      <c r="C211" s="110"/>
      <c r="D211" s="110"/>
      <c r="E211" s="110"/>
      <c r="F211" s="110"/>
      <c r="G211" s="110"/>
      <c r="H211" s="110"/>
      <c r="I211" s="110"/>
      <c r="J211" s="110"/>
    </row>
    <row r="212" spans="2:10" ht="15.75" x14ac:dyDescent="0.25">
      <c r="B212" s="110" t="s">
        <v>221</v>
      </c>
      <c r="C212" s="110"/>
      <c r="D212" s="110"/>
      <c r="E212" s="110"/>
      <c r="F212" s="110"/>
      <c r="G212" s="110"/>
      <c r="H212" s="110"/>
      <c r="I212" s="110"/>
      <c r="J212" s="110"/>
    </row>
    <row r="213" spans="2:10" ht="15.75" x14ac:dyDescent="0.25">
      <c r="B213" s="110" t="s">
        <v>222</v>
      </c>
      <c r="C213" s="110"/>
      <c r="D213" s="110"/>
      <c r="E213" s="110"/>
      <c r="F213" s="110"/>
      <c r="G213" s="110"/>
      <c r="H213" s="110"/>
      <c r="I213" s="110"/>
      <c r="J213" s="110"/>
    </row>
    <row r="214" spans="2:10" ht="15.75" x14ac:dyDescent="0.25">
      <c r="B214" s="110"/>
      <c r="C214" s="110"/>
      <c r="D214" s="110"/>
      <c r="E214" s="110"/>
      <c r="F214" s="110"/>
      <c r="G214" s="110"/>
      <c r="H214" s="110"/>
      <c r="I214" s="110"/>
      <c r="J214" s="110"/>
    </row>
    <row r="215" spans="2:10" ht="15.75" x14ac:dyDescent="0.25">
      <c r="B215" s="110" t="s">
        <v>223</v>
      </c>
      <c r="C215" s="110"/>
      <c r="D215" s="110"/>
      <c r="E215" s="110"/>
      <c r="F215" s="110"/>
      <c r="G215" s="110"/>
      <c r="H215" s="110"/>
      <c r="I215" s="110"/>
      <c r="J215" s="110"/>
    </row>
    <row r="216" spans="2:10" ht="15.75" x14ac:dyDescent="0.25">
      <c r="B216" s="110"/>
      <c r="C216" s="110"/>
      <c r="D216" s="110"/>
      <c r="E216" s="110"/>
      <c r="F216" s="110"/>
      <c r="G216" s="110"/>
      <c r="H216" s="110"/>
      <c r="I216" s="110"/>
      <c r="J216" s="110"/>
    </row>
    <row r="217" spans="2:10" ht="15.75" x14ac:dyDescent="0.25">
      <c r="B217" s="110" t="s">
        <v>224</v>
      </c>
      <c r="C217" s="110"/>
      <c r="D217" s="110"/>
      <c r="E217" s="110"/>
      <c r="F217" s="110"/>
      <c r="G217" s="110"/>
      <c r="H217" s="110"/>
      <c r="I217" s="110"/>
      <c r="J217" s="110"/>
    </row>
    <row r="218" spans="2:10" ht="15.75" x14ac:dyDescent="0.25">
      <c r="B218" s="110" t="s">
        <v>225</v>
      </c>
      <c r="C218" s="110"/>
      <c r="D218" s="110"/>
      <c r="E218" s="110"/>
      <c r="F218" s="110"/>
      <c r="G218" s="110"/>
      <c r="H218" s="110"/>
      <c r="I218" s="110"/>
      <c r="J218" s="110"/>
    </row>
    <row r="219" spans="2:10" ht="15.75" x14ac:dyDescent="0.25">
      <c r="B219" s="110" t="s">
        <v>226</v>
      </c>
      <c r="C219" s="110"/>
      <c r="D219" s="110"/>
      <c r="E219" s="110"/>
      <c r="F219" s="110"/>
      <c r="G219" s="110"/>
      <c r="H219" s="110"/>
      <c r="I219" s="110"/>
      <c r="J219" s="110"/>
    </row>
    <row r="220" spans="2:10" ht="15.75" x14ac:dyDescent="0.25">
      <c r="B220" s="110"/>
      <c r="C220" s="110"/>
      <c r="D220" s="110"/>
      <c r="E220" s="110"/>
      <c r="F220" s="110"/>
      <c r="G220" s="110"/>
      <c r="H220" s="110"/>
      <c r="I220" s="110"/>
      <c r="J220" s="110"/>
    </row>
    <row r="221" spans="2:10" ht="15.75" x14ac:dyDescent="0.25">
      <c r="B221" s="110" t="s">
        <v>227</v>
      </c>
      <c r="C221" s="110"/>
      <c r="D221" s="110"/>
      <c r="E221" s="110"/>
      <c r="F221" s="110"/>
      <c r="G221" s="110"/>
      <c r="H221" s="110"/>
      <c r="I221" s="110"/>
      <c r="J221" s="110"/>
    </row>
    <row r="222" spans="2:10" ht="15.75" x14ac:dyDescent="0.25">
      <c r="B222" s="110" t="s">
        <v>228</v>
      </c>
      <c r="C222" s="110"/>
      <c r="D222" s="110"/>
      <c r="E222" s="110"/>
      <c r="F222" s="110"/>
      <c r="G222" s="110"/>
      <c r="H222" s="110"/>
      <c r="I222" s="110"/>
      <c r="J222" s="110"/>
    </row>
    <row r="223" spans="2:10" ht="15.75" x14ac:dyDescent="0.25">
      <c r="B223" s="110"/>
      <c r="C223" s="110"/>
      <c r="D223" s="110"/>
      <c r="E223" s="110"/>
      <c r="F223" s="110"/>
      <c r="G223" s="110"/>
      <c r="H223" s="110"/>
      <c r="I223" s="110"/>
      <c r="J223" s="110"/>
    </row>
    <row r="224" spans="2:10" ht="15.75" x14ac:dyDescent="0.25">
      <c r="B224" s="110" t="s">
        <v>229</v>
      </c>
      <c r="C224" s="110"/>
      <c r="D224" s="110"/>
      <c r="E224" s="110"/>
      <c r="F224" s="110"/>
      <c r="G224" s="110"/>
      <c r="H224" s="110"/>
      <c r="I224" s="110"/>
      <c r="J224" s="110"/>
    </row>
    <row r="225" spans="2:10" ht="15.75" x14ac:dyDescent="0.25">
      <c r="B225" s="110" t="s">
        <v>230</v>
      </c>
      <c r="C225" s="110"/>
      <c r="D225" s="110"/>
      <c r="E225" s="110"/>
      <c r="F225" s="110"/>
      <c r="G225" s="110"/>
      <c r="H225" s="110"/>
      <c r="I225" s="110"/>
      <c r="J225" s="110"/>
    </row>
    <row r="226" spans="2:10" ht="15.75" x14ac:dyDescent="0.25">
      <c r="B226" s="110" t="s">
        <v>231</v>
      </c>
      <c r="C226" s="110"/>
      <c r="D226" s="110"/>
      <c r="E226" s="110"/>
      <c r="F226" s="110"/>
      <c r="G226" s="110"/>
      <c r="H226" s="110"/>
      <c r="I226" s="110"/>
      <c r="J226" s="110"/>
    </row>
    <row r="227" spans="2:10" ht="15.75" x14ac:dyDescent="0.25">
      <c r="B227" s="110" t="s">
        <v>232</v>
      </c>
      <c r="C227" s="110"/>
      <c r="D227" s="110"/>
      <c r="E227" s="110"/>
      <c r="F227" s="110"/>
      <c r="G227" s="110"/>
      <c r="H227" s="110"/>
      <c r="I227" s="110"/>
      <c r="J227" s="110"/>
    </row>
    <row r="228" spans="2:10" ht="15.75" x14ac:dyDescent="0.25">
      <c r="B228" s="110"/>
      <c r="C228" s="110"/>
      <c r="D228" s="110"/>
      <c r="E228" s="110"/>
      <c r="F228" s="110"/>
      <c r="G228" s="110"/>
      <c r="H228" s="110"/>
      <c r="I228" s="110"/>
      <c r="J228" s="110"/>
    </row>
    <row r="229" spans="2:10" ht="15.75" x14ac:dyDescent="0.25">
      <c r="B229" s="109" t="s">
        <v>233</v>
      </c>
      <c r="C229" s="109"/>
      <c r="D229" s="110"/>
      <c r="E229" s="110"/>
      <c r="F229" s="110"/>
      <c r="G229" s="110"/>
      <c r="H229" s="110"/>
      <c r="I229" s="110"/>
      <c r="J229" s="110"/>
    </row>
    <row r="230" spans="2:10" ht="15.75" x14ac:dyDescent="0.25">
      <c r="B230" s="110"/>
      <c r="C230" s="110"/>
      <c r="D230" s="110"/>
      <c r="E230" s="110"/>
      <c r="F230" s="110"/>
      <c r="G230" s="110"/>
      <c r="H230" s="110"/>
      <c r="I230" s="110"/>
      <c r="J230" s="110"/>
    </row>
    <row r="231" spans="2:10" ht="15.75" x14ac:dyDescent="0.25">
      <c r="B231" s="110" t="s">
        <v>234</v>
      </c>
      <c r="C231" s="110"/>
      <c r="D231" s="110"/>
      <c r="E231" s="110"/>
      <c r="F231" s="110"/>
      <c r="G231" s="110"/>
      <c r="H231" s="110"/>
      <c r="I231" s="110"/>
      <c r="J231" s="110"/>
    </row>
    <row r="232" spans="2:10" ht="15.75" x14ac:dyDescent="0.25">
      <c r="B232" s="110" t="s">
        <v>235</v>
      </c>
      <c r="C232" s="110"/>
      <c r="D232" s="110"/>
      <c r="E232" s="110"/>
      <c r="F232" s="110"/>
      <c r="G232" s="110"/>
      <c r="H232" s="110"/>
      <c r="I232" s="110"/>
      <c r="J232" s="110"/>
    </row>
    <row r="233" spans="2:10" ht="15.75" x14ac:dyDescent="0.25">
      <c r="B233" s="110"/>
      <c r="C233" s="110"/>
      <c r="D233" s="110"/>
      <c r="E233" s="110"/>
      <c r="F233" s="110"/>
      <c r="G233" s="110"/>
      <c r="H233" s="110"/>
      <c r="I233" s="110"/>
      <c r="J233" s="110"/>
    </row>
    <row r="234" spans="2:10" ht="15.75" x14ac:dyDescent="0.25">
      <c r="B234" s="110" t="s">
        <v>236</v>
      </c>
      <c r="C234" s="110"/>
      <c r="D234" s="110"/>
      <c r="E234" s="110"/>
      <c r="F234" s="110"/>
      <c r="G234" s="110"/>
      <c r="H234" s="110"/>
      <c r="I234" s="110"/>
      <c r="J234" s="110"/>
    </row>
    <row r="235" spans="2:10" ht="15.75" x14ac:dyDescent="0.25">
      <c r="B235" s="110"/>
      <c r="C235" s="110"/>
      <c r="D235" s="110"/>
      <c r="E235" s="110"/>
      <c r="F235" s="110"/>
      <c r="G235" s="110"/>
      <c r="H235" s="110"/>
      <c r="I235" s="110"/>
      <c r="J235" s="110"/>
    </row>
    <row r="236" spans="2:10" ht="15.75" x14ac:dyDescent="0.25">
      <c r="B236" s="110"/>
      <c r="C236" s="110"/>
      <c r="D236" s="110"/>
      <c r="E236" s="110"/>
      <c r="F236" s="110"/>
      <c r="G236" s="110"/>
      <c r="H236" s="110"/>
      <c r="I236" s="110"/>
      <c r="J236" s="110"/>
    </row>
    <row r="237" spans="2:10" ht="15.75" x14ac:dyDescent="0.25">
      <c r="B237" s="109" t="s">
        <v>237</v>
      </c>
      <c r="C237" s="110"/>
      <c r="D237" s="110"/>
      <c r="E237" s="110"/>
      <c r="F237" s="110"/>
      <c r="G237" s="110"/>
      <c r="H237" s="110"/>
      <c r="I237" s="110"/>
      <c r="J237" s="110"/>
    </row>
    <row r="238" spans="2:10" ht="15.75" x14ac:dyDescent="0.25">
      <c r="B238" s="110"/>
      <c r="C238" s="110"/>
      <c r="D238" s="110"/>
      <c r="E238" s="110"/>
      <c r="F238" s="110"/>
      <c r="G238" s="110"/>
      <c r="H238" s="110"/>
      <c r="I238" s="110"/>
      <c r="J238" s="110"/>
    </row>
    <row r="239" spans="2:10" ht="15.75" x14ac:dyDescent="0.25">
      <c r="B239" s="110" t="s">
        <v>238</v>
      </c>
      <c r="C239" s="110"/>
      <c r="D239" s="110"/>
      <c r="E239" s="110"/>
      <c r="F239" s="110"/>
      <c r="G239" s="110"/>
      <c r="H239" s="110"/>
      <c r="I239" s="110"/>
      <c r="J239" s="110"/>
    </row>
    <row r="240" spans="2:10" ht="15.75" x14ac:dyDescent="0.25">
      <c r="B240" s="110" t="s">
        <v>239</v>
      </c>
      <c r="C240" s="110"/>
      <c r="D240" s="110"/>
      <c r="E240" s="110"/>
      <c r="F240" s="110"/>
      <c r="G240" s="110"/>
      <c r="H240" s="110"/>
      <c r="I240" s="110"/>
      <c r="J240" s="110"/>
    </row>
    <row r="241" spans="2:10" ht="15.75" x14ac:dyDescent="0.25">
      <c r="B241" s="110" t="s">
        <v>240</v>
      </c>
      <c r="C241" s="110"/>
      <c r="D241" s="110"/>
      <c r="E241" s="110"/>
      <c r="F241" s="110"/>
      <c r="G241" s="110"/>
      <c r="H241" s="110"/>
      <c r="I241" s="110"/>
      <c r="J241" s="110"/>
    </row>
    <row r="242" spans="2:10" ht="15.75" x14ac:dyDescent="0.25">
      <c r="B242" s="110"/>
      <c r="C242" s="110"/>
      <c r="D242" s="110"/>
      <c r="E242" s="110"/>
      <c r="F242" s="110"/>
      <c r="G242" s="110"/>
      <c r="H242" s="110"/>
      <c r="I242" s="110"/>
      <c r="J242" s="110"/>
    </row>
    <row r="243" spans="2:10" ht="15.75" x14ac:dyDescent="0.25">
      <c r="B243" s="110" t="s">
        <v>241</v>
      </c>
      <c r="C243" s="110"/>
      <c r="D243" s="110"/>
      <c r="E243" s="110"/>
      <c r="F243" s="110"/>
      <c r="G243" s="110"/>
      <c r="H243" s="110"/>
      <c r="I243" s="110"/>
      <c r="J243" s="110"/>
    </row>
    <row r="244" spans="2:10" ht="15.75" x14ac:dyDescent="0.25">
      <c r="B244" s="110" t="s">
        <v>242</v>
      </c>
      <c r="C244" s="110"/>
      <c r="D244" s="110"/>
      <c r="E244" s="110"/>
      <c r="F244" s="110"/>
      <c r="G244" s="110"/>
      <c r="H244" s="110"/>
      <c r="I244" s="110"/>
      <c r="J244" s="110"/>
    </row>
    <row r="245" spans="2:10" ht="15.75" x14ac:dyDescent="0.25">
      <c r="B245" s="110"/>
      <c r="C245" s="110"/>
      <c r="D245" s="110"/>
      <c r="E245" s="110"/>
      <c r="F245" s="110"/>
      <c r="G245" s="110"/>
      <c r="H245" s="110"/>
      <c r="I245" s="110"/>
      <c r="J245" s="110"/>
    </row>
    <row r="246" spans="2:10" ht="15.75" x14ac:dyDescent="0.25">
      <c r="B246" s="110" t="s">
        <v>243</v>
      </c>
      <c r="C246" s="110"/>
      <c r="D246" s="110"/>
      <c r="E246" s="110"/>
      <c r="F246" s="110"/>
      <c r="G246" s="110"/>
      <c r="H246" s="110"/>
      <c r="I246" s="110"/>
      <c r="J246" s="110"/>
    </row>
    <row r="247" spans="2:10" ht="15.75" x14ac:dyDescent="0.25">
      <c r="B247" s="110" t="s">
        <v>244</v>
      </c>
      <c r="C247" s="110"/>
      <c r="D247" s="110"/>
      <c r="E247" s="110"/>
      <c r="F247" s="110"/>
      <c r="G247" s="110"/>
      <c r="H247" s="110"/>
      <c r="I247" s="110"/>
      <c r="J247" s="110"/>
    </row>
    <row r="248" spans="2:10" ht="15.75" x14ac:dyDescent="0.25">
      <c r="B248" s="110"/>
      <c r="C248" s="110"/>
      <c r="D248" s="110"/>
      <c r="E248" s="110"/>
      <c r="F248" s="110"/>
      <c r="G248" s="110"/>
      <c r="H248" s="110"/>
      <c r="I248" s="110"/>
      <c r="J248" s="110"/>
    </row>
    <row r="249" spans="2:10" ht="15.75" x14ac:dyDescent="0.25">
      <c r="B249" s="110" t="s">
        <v>245</v>
      </c>
      <c r="C249" s="110"/>
      <c r="D249" s="110"/>
      <c r="E249" s="110"/>
      <c r="F249" s="110"/>
      <c r="G249" s="110"/>
      <c r="H249" s="110"/>
      <c r="I249" s="110"/>
      <c r="J249" s="110"/>
    </row>
    <row r="250" spans="2:10" ht="15.75" x14ac:dyDescent="0.25">
      <c r="B250" s="110" t="s">
        <v>246</v>
      </c>
      <c r="C250" s="110"/>
      <c r="D250" s="110"/>
      <c r="E250" s="110"/>
      <c r="F250" s="110"/>
      <c r="G250" s="110"/>
      <c r="H250" s="110"/>
      <c r="I250" s="110"/>
      <c r="J250" s="110"/>
    </row>
    <row r="251" spans="2:10" ht="15.75" x14ac:dyDescent="0.25">
      <c r="B251" s="110" t="s">
        <v>247</v>
      </c>
      <c r="C251" s="110"/>
      <c r="D251" s="110"/>
      <c r="E251" s="110"/>
      <c r="F251" s="110"/>
      <c r="G251" s="110"/>
      <c r="H251" s="110"/>
      <c r="I251" s="110"/>
      <c r="J251" s="110"/>
    </row>
    <row r="252" spans="2:10" ht="15.75" x14ac:dyDescent="0.25">
      <c r="B252" s="110"/>
      <c r="C252" s="110"/>
      <c r="D252" s="110"/>
      <c r="E252" s="110"/>
      <c r="F252" s="110"/>
      <c r="G252" s="110"/>
      <c r="H252" s="110"/>
      <c r="I252" s="110"/>
      <c r="J252" s="110"/>
    </row>
    <row r="253" spans="2:10" ht="15.75" x14ac:dyDescent="0.25">
      <c r="B253" s="109" t="s">
        <v>248</v>
      </c>
      <c r="C253" s="110"/>
      <c r="D253" s="110"/>
      <c r="E253" s="110"/>
      <c r="F253" s="110"/>
      <c r="G253" s="110"/>
      <c r="H253" s="110"/>
      <c r="I253" s="110"/>
      <c r="J253" s="110"/>
    </row>
    <row r="254" spans="2:10" ht="15.75" x14ac:dyDescent="0.25">
      <c r="B254" s="110"/>
      <c r="C254" s="110"/>
      <c r="D254" s="110"/>
      <c r="E254" s="110"/>
      <c r="F254" s="110"/>
      <c r="G254" s="110"/>
      <c r="H254" s="110"/>
      <c r="I254" s="110"/>
      <c r="J254" s="110"/>
    </row>
    <row r="255" spans="2:10" ht="15.75" x14ac:dyDescent="0.25">
      <c r="B255" s="109" t="s">
        <v>249</v>
      </c>
      <c r="C255" s="110"/>
      <c r="D255" s="110"/>
      <c r="E255" s="110"/>
      <c r="F255" s="110"/>
      <c r="G255" s="110"/>
      <c r="H255" s="110"/>
      <c r="I255" s="110"/>
      <c r="J255" s="110"/>
    </row>
    <row r="256" spans="2:10" ht="15.75" x14ac:dyDescent="0.25">
      <c r="B256" s="110"/>
      <c r="C256" s="110"/>
      <c r="D256" s="110"/>
      <c r="E256" s="110"/>
      <c r="F256" s="110"/>
      <c r="G256" s="110"/>
      <c r="H256" s="110"/>
      <c r="I256" s="110"/>
      <c r="J256" s="110"/>
    </row>
    <row r="257" spans="2:10" ht="15.75" x14ac:dyDescent="0.25">
      <c r="B257" s="110" t="s">
        <v>250</v>
      </c>
      <c r="C257" s="110"/>
      <c r="D257" s="110"/>
      <c r="E257" s="110"/>
      <c r="F257" s="110"/>
      <c r="G257" s="110"/>
      <c r="H257" s="110"/>
      <c r="I257" s="110"/>
      <c r="J257" s="110"/>
    </row>
    <row r="258" spans="2:10" ht="15.75" x14ac:dyDescent="0.25">
      <c r="B258" s="110" t="s">
        <v>251</v>
      </c>
      <c r="C258" s="110"/>
      <c r="D258" s="110"/>
      <c r="E258" s="110"/>
      <c r="F258" s="110"/>
      <c r="G258" s="110"/>
      <c r="H258" s="110"/>
      <c r="I258" s="110"/>
      <c r="J258" s="110"/>
    </row>
    <row r="259" spans="2:10" ht="15.75" x14ac:dyDescent="0.25">
      <c r="B259" s="110"/>
      <c r="C259" s="110"/>
      <c r="D259" s="110"/>
      <c r="E259" s="110"/>
      <c r="F259" s="110"/>
      <c r="G259" s="110"/>
      <c r="H259" s="110"/>
      <c r="I259" s="110"/>
      <c r="J259" s="110"/>
    </row>
    <row r="260" spans="2:10" ht="15.75" x14ac:dyDescent="0.25">
      <c r="B260" s="110" t="s">
        <v>252</v>
      </c>
      <c r="C260" s="110"/>
      <c r="D260" s="110"/>
      <c r="E260" s="110"/>
      <c r="F260" s="110"/>
      <c r="G260" s="110"/>
      <c r="H260" s="110"/>
      <c r="I260" s="110"/>
      <c r="J260" s="110"/>
    </row>
    <row r="261" spans="2:10" ht="15.75" x14ac:dyDescent="0.25">
      <c r="B261" s="110" t="s">
        <v>253</v>
      </c>
      <c r="C261" s="110"/>
      <c r="D261" s="110"/>
      <c r="E261" s="110"/>
      <c r="F261" s="110"/>
      <c r="G261" s="110"/>
      <c r="H261" s="110"/>
      <c r="I261" s="110"/>
      <c r="J261" s="110"/>
    </row>
    <row r="262" spans="2:10" ht="15.75" x14ac:dyDescent="0.25">
      <c r="B262" s="110" t="s">
        <v>254</v>
      </c>
      <c r="C262" s="110"/>
      <c r="D262" s="110"/>
      <c r="E262" s="110"/>
      <c r="F262" s="110"/>
      <c r="G262" s="110"/>
      <c r="H262" s="110"/>
      <c r="I262" s="110"/>
      <c r="J262" s="110"/>
    </row>
    <row r="263" spans="2:10" ht="15.75" x14ac:dyDescent="0.25">
      <c r="B263" s="110"/>
      <c r="C263" s="110"/>
      <c r="D263" s="110"/>
      <c r="E263" s="110"/>
      <c r="F263" s="110"/>
      <c r="G263" s="110"/>
      <c r="H263" s="110"/>
      <c r="I263" s="110"/>
      <c r="J263" s="110"/>
    </row>
    <row r="264" spans="2:10" ht="15.75" x14ac:dyDescent="0.25">
      <c r="B264" s="110" t="s">
        <v>255</v>
      </c>
      <c r="C264" s="110"/>
      <c r="D264" s="110"/>
      <c r="E264" s="110"/>
      <c r="F264" s="110"/>
      <c r="G264" s="110"/>
      <c r="H264" s="110"/>
      <c r="I264" s="110"/>
      <c r="J264" s="110"/>
    </row>
    <row r="265" spans="2:10" ht="15.75" x14ac:dyDescent="0.25">
      <c r="B265" s="110" t="s">
        <v>256</v>
      </c>
      <c r="C265" s="110"/>
      <c r="D265" s="110"/>
      <c r="E265" s="110"/>
      <c r="F265" s="110"/>
      <c r="G265" s="110"/>
      <c r="H265" s="110"/>
      <c r="I265" s="110"/>
      <c r="J265" s="110"/>
    </row>
    <row r="266" spans="2:10" ht="15.75" x14ac:dyDescent="0.25">
      <c r="B266" s="110" t="s">
        <v>257</v>
      </c>
      <c r="C266" s="110"/>
      <c r="D266" s="110"/>
      <c r="E266" s="110"/>
      <c r="F266" s="110"/>
      <c r="G266" s="110"/>
      <c r="H266" s="110"/>
      <c r="I266" s="110"/>
      <c r="J266" s="110"/>
    </row>
    <row r="267" spans="2:10" ht="15.75" x14ac:dyDescent="0.25">
      <c r="B267" s="110"/>
      <c r="C267" s="110"/>
      <c r="D267" s="110"/>
      <c r="E267" s="110"/>
      <c r="F267" s="110"/>
      <c r="G267" s="110"/>
      <c r="H267" s="110"/>
      <c r="I267" s="110"/>
      <c r="J267" s="110"/>
    </row>
    <row r="268" spans="2:10" ht="15.75" x14ac:dyDescent="0.25">
      <c r="B268" s="110"/>
      <c r="C268" s="110"/>
      <c r="D268" s="110"/>
      <c r="E268" s="110"/>
      <c r="F268" s="110"/>
      <c r="G268" s="110"/>
      <c r="H268" s="110"/>
      <c r="I268" s="110"/>
      <c r="J268" s="110"/>
    </row>
    <row r="269" spans="2:10" ht="15.75" x14ac:dyDescent="0.25">
      <c r="B269" s="109" t="s">
        <v>258</v>
      </c>
      <c r="C269" s="110"/>
      <c r="D269" s="110"/>
      <c r="E269" s="110"/>
      <c r="F269" s="110"/>
      <c r="G269" s="110"/>
      <c r="H269" s="110"/>
      <c r="I269" s="110"/>
      <c r="J269" s="110"/>
    </row>
    <row r="270" spans="2:10" ht="15.75" x14ac:dyDescent="0.25">
      <c r="B270" s="110"/>
      <c r="C270" s="110"/>
      <c r="D270" s="110"/>
      <c r="E270" s="110"/>
      <c r="F270" s="110"/>
      <c r="G270" s="110"/>
      <c r="H270" s="110"/>
      <c r="I270" s="110"/>
      <c r="J270" s="110"/>
    </row>
    <row r="271" spans="2:10" ht="15.75" x14ac:dyDescent="0.25">
      <c r="B271" s="110" t="s">
        <v>259</v>
      </c>
      <c r="C271" s="110"/>
      <c r="D271" s="110"/>
      <c r="E271" s="110"/>
      <c r="F271" s="110"/>
      <c r="G271" s="110"/>
      <c r="H271" s="110"/>
      <c r="I271" s="110"/>
      <c r="J271" s="110"/>
    </row>
    <row r="272" spans="2:10" ht="15.75" x14ac:dyDescent="0.25">
      <c r="B272" s="110" t="s">
        <v>260</v>
      </c>
      <c r="C272" s="110"/>
      <c r="D272" s="110"/>
      <c r="E272" s="110"/>
      <c r="F272" s="110"/>
      <c r="G272" s="110"/>
      <c r="H272" s="110"/>
      <c r="I272" s="110"/>
      <c r="J272" s="110"/>
    </row>
    <row r="273" spans="2:10" ht="15.75" x14ac:dyDescent="0.25">
      <c r="B273" s="110"/>
      <c r="C273" s="110"/>
      <c r="D273" s="110"/>
      <c r="E273" s="110"/>
      <c r="F273" s="110"/>
      <c r="G273" s="110"/>
      <c r="H273" s="110"/>
      <c r="I273" s="110"/>
      <c r="J273" s="110"/>
    </row>
    <row r="274" spans="2:10" ht="15.75" x14ac:dyDescent="0.25">
      <c r="B274" s="109" t="s">
        <v>261</v>
      </c>
      <c r="C274" s="110"/>
      <c r="D274" s="110"/>
      <c r="E274" s="110"/>
      <c r="F274" s="110"/>
      <c r="G274" s="110"/>
      <c r="H274" s="110"/>
      <c r="I274" s="110"/>
      <c r="J274" s="110"/>
    </row>
    <row r="275" spans="2:10" ht="15.75" x14ac:dyDescent="0.25">
      <c r="B275" s="110"/>
      <c r="C275" s="110"/>
      <c r="D275" s="110"/>
      <c r="E275" s="110"/>
      <c r="F275" s="110"/>
      <c r="G275" s="110"/>
      <c r="H275" s="110"/>
      <c r="I275" s="110"/>
      <c r="J275" s="110"/>
    </row>
    <row r="276" spans="2:10" ht="15.75" x14ac:dyDescent="0.25">
      <c r="B276" s="110" t="s">
        <v>262</v>
      </c>
      <c r="C276" s="110"/>
      <c r="D276" s="110"/>
      <c r="E276" s="110"/>
      <c r="F276" s="110"/>
      <c r="G276" s="110"/>
      <c r="H276" s="110"/>
      <c r="I276" s="110"/>
      <c r="J276" s="110"/>
    </row>
    <row r="277" spans="2:10" ht="15.75" x14ac:dyDescent="0.25">
      <c r="B277" s="110" t="s">
        <v>263</v>
      </c>
      <c r="C277" s="110"/>
      <c r="D277" s="110"/>
      <c r="E277" s="110"/>
      <c r="F277" s="110"/>
      <c r="G277" s="110"/>
      <c r="H277" s="110"/>
      <c r="I277" s="110"/>
      <c r="J277" s="110"/>
    </row>
    <row r="278" spans="2:10" ht="15.75" x14ac:dyDescent="0.25">
      <c r="B278" s="110"/>
      <c r="C278" s="110"/>
      <c r="D278" s="110"/>
      <c r="E278" s="110"/>
      <c r="F278" s="110"/>
      <c r="G278" s="110"/>
      <c r="H278" s="110"/>
      <c r="I278" s="110"/>
      <c r="J278" s="110"/>
    </row>
    <row r="279" spans="2:10" ht="15.75" x14ac:dyDescent="0.25">
      <c r="B279" s="110"/>
      <c r="C279" s="110"/>
      <c r="D279" s="110"/>
      <c r="E279" s="110"/>
      <c r="F279" s="110"/>
      <c r="G279" s="110"/>
      <c r="H279" s="110"/>
      <c r="I279" s="110"/>
      <c r="J279" s="110"/>
    </row>
    <row r="280" spans="2:10" ht="15.75" x14ac:dyDescent="0.25">
      <c r="B280" s="109" t="s">
        <v>264</v>
      </c>
      <c r="C280" s="110"/>
      <c r="D280" s="110"/>
      <c r="E280" s="110"/>
      <c r="F280" s="110"/>
      <c r="G280" s="110"/>
      <c r="H280" s="110"/>
      <c r="I280" s="110"/>
      <c r="J280" s="110"/>
    </row>
    <row r="281" spans="2:10" ht="15.75" x14ac:dyDescent="0.25">
      <c r="B281" s="110"/>
      <c r="C281" s="110"/>
      <c r="D281" s="110"/>
      <c r="E281" s="110"/>
      <c r="F281" s="110"/>
      <c r="G281" s="110"/>
      <c r="H281" s="110"/>
      <c r="I281" s="110"/>
      <c r="J281" s="110"/>
    </row>
    <row r="282" spans="2:10" ht="15.75" x14ac:dyDescent="0.25">
      <c r="B282" s="110" t="s">
        <v>265</v>
      </c>
      <c r="C282" s="110"/>
      <c r="D282" s="110"/>
      <c r="E282" s="110"/>
      <c r="F282" s="110"/>
      <c r="G282" s="110"/>
      <c r="H282" s="110"/>
      <c r="I282" s="110"/>
      <c r="J282" s="110"/>
    </row>
    <row r="283" spans="2:10" ht="15.75" x14ac:dyDescent="0.25">
      <c r="B283" s="110" t="s">
        <v>266</v>
      </c>
      <c r="C283" s="110"/>
      <c r="D283" s="110"/>
      <c r="E283" s="110"/>
      <c r="F283" s="110"/>
      <c r="G283" s="110"/>
      <c r="H283" s="110"/>
      <c r="I283" s="110"/>
      <c r="J283" s="110"/>
    </row>
    <row r="284" spans="2:10" ht="15.75" x14ac:dyDescent="0.25">
      <c r="B284" s="110" t="s">
        <v>267</v>
      </c>
      <c r="C284" s="110"/>
      <c r="D284" s="110"/>
      <c r="E284" s="110"/>
      <c r="F284" s="110"/>
      <c r="G284" s="110"/>
      <c r="H284" s="110"/>
      <c r="I284" s="110"/>
      <c r="J284" s="110"/>
    </row>
    <row r="285" spans="2:10" ht="15.75" x14ac:dyDescent="0.25">
      <c r="B285" s="110" t="s">
        <v>268</v>
      </c>
      <c r="C285" s="110"/>
      <c r="D285" s="110"/>
      <c r="E285" s="110"/>
      <c r="F285" s="110"/>
      <c r="G285" s="110"/>
      <c r="H285" s="110"/>
      <c r="I285" s="110"/>
      <c r="J285" s="110"/>
    </row>
    <row r="286" spans="2:10" ht="15.75" x14ac:dyDescent="0.25">
      <c r="B286" s="110" t="s">
        <v>269</v>
      </c>
      <c r="C286" s="110"/>
      <c r="D286" s="110"/>
      <c r="E286" s="110"/>
      <c r="F286" s="110"/>
      <c r="G286" s="110"/>
      <c r="H286" s="110"/>
      <c r="I286" s="110"/>
      <c r="J286" s="110"/>
    </row>
    <row r="287" spans="2:10" ht="15.75" x14ac:dyDescent="0.25">
      <c r="B287" s="110" t="s">
        <v>270</v>
      </c>
      <c r="C287" s="110"/>
      <c r="D287" s="110"/>
      <c r="E287" s="110"/>
      <c r="F287" s="110"/>
      <c r="G287" s="110"/>
      <c r="H287" s="110"/>
      <c r="I287" s="110"/>
      <c r="J287" s="110"/>
    </row>
    <row r="288" spans="2:10" ht="15.75" x14ac:dyDescent="0.25">
      <c r="B288" s="110" t="s">
        <v>271</v>
      </c>
      <c r="C288" s="110"/>
      <c r="D288" s="110"/>
      <c r="E288" s="110"/>
      <c r="F288" s="110"/>
      <c r="G288" s="110"/>
      <c r="H288" s="110"/>
      <c r="I288" s="110"/>
      <c r="J288" s="110"/>
    </row>
    <row r="289" spans="2:10" ht="15.75" x14ac:dyDescent="0.25">
      <c r="B289" s="110"/>
      <c r="C289" s="110"/>
      <c r="D289" s="110"/>
      <c r="E289" s="110"/>
      <c r="F289" s="110"/>
      <c r="G289" s="110"/>
      <c r="H289" s="110"/>
      <c r="I289" s="110"/>
      <c r="J289" s="110"/>
    </row>
    <row r="290" spans="2:10" ht="15.75" x14ac:dyDescent="0.25">
      <c r="B290" s="110" t="s">
        <v>272</v>
      </c>
      <c r="C290" s="110"/>
      <c r="D290" s="110"/>
      <c r="E290" s="110"/>
      <c r="F290" s="110"/>
      <c r="G290" s="110"/>
      <c r="H290" s="110"/>
      <c r="I290" s="110"/>
      <c r="J290" s="110"/>
    </row>
    <row r="291" spans="2:10" ht="15.75" x14ac:dyDescent="0.25">
      <c r="B291" s="110" t="s">
        <v>273</v>
      </c>
      <c r="C291" s="110"/>
      <c r="D291" s="110"/>
      <c r="E291" s="110"/>
      <c r="F291" s="110"/>
      <c r="G291" s="110"/>
      <c r="H291" s="110"/>
      <c r="I291" s="110"/>
      <c r="J291" s="110"/>
    </row>
    <row r="292" spans="2:10" ht="15.75" x14ac:dyDescent="0.25">
      <c r="B292" s="110"/>
      <c r="C292" s="110"/>
      <c r="D292" s="110"/>
      <c r="E292" s="110"/>
      <c r="F292" s="110"/>
      <c r="G292" s="110"/>
      <c r="H292" s="110"/>
      <c r="I292" s="110"/>
      <c r="J292" s="110"/>
    </row>
    <row r="293" spans="2:10" ht="15.75" x14ac:dyDescent="0.25">
      <c r="B293" s="110" t="s">
        <v>274</v>
      </c>
      <c r="C293" s="110"/>
      <c r="D293" s="110"/>
      <c r="E293" s="110"/>
      <c r="F293" s="110"/>
      <c r="G293" s="110"/>
      <c r="H293" s="110"/>
      <c r="I293" s="110"/>
      <c r="J293" s="110"/>
    </row>
    <row r="294" spans="2:10" ht="15.75" x14ac:dyDescent="0.25">
      <c r="B294" s="110" t="s">
        <v>275</v>
      </c>
      <c r="C294" s="110"/>
      <c r="D294" s="110"/>
      <c r="E294" s="110"/>
      <c r="F294" s="110"/>
      <c r="G294" s="110"/>
      <c r="H294" s="110"/>
      <c r="I294" s="110"/>
      <c r="J294" s="110"/>
    </row>
    <row r="295" spans="2:10" ht="15.75" x14ac:dyDescent="0.25">
      <c r="B295" s="110"/>
      <c r="C295" s="110"/>
      <c r="D295" s="110"/>
      <c r="E295" s="110"/>
      <c r="F295" s="110"/>
      <c r="G295" s="110"/>
      <c r="H295" s="110"/>
      <c r="I295" s="110"/>
      <c r="J295" s="110"/>
    </row>
    <row r="296" spans="2:10" ht="15.75" x14ac:dyDescent="0.25">
      <c r="B296" s="110" t="s">
        <v>276</v>
      </c>
      <c r="C296" s="110"/>
      <c r="D296" s="110"/>
      <c r="E296" s="110"/>
      <c r="F296" s="110"/>
      <c r="G296" s="110"/>
      <c r="H296" s="110"/>
      <c r="I296" s="110"/>
      <c r="J296" s="110"/>
    </row>
    <row r="297" spans="2:10" ht="15.75" x14ac:dyDescent="0.25">
      <c r="B297" s="110" t="s">
        <v>277</v>
      </c>
      <c r="C297" s="110"/>
      <c r="D297" s="110"/>
      <c r="E297" s="110"/>
      <c r="F297" s="110"/>
      <c r="G297" s="110"/>
      <c r="H297" s="110"/>
      <c r="I297" s="110"/>
      <c r="J297" s="110"/>
    </row>
    <row r="298" spans="2:10" ht="15.75" x14ac:dyDescent="0.25">
      <c r="B298" s="110"/>
      <c r="C298" s="110"/>
      <c r="D298" s="110"/>
      <c r="E298" s="110"/>
      <c r="F298" s="110"/>
      <c r="G298" s="110"/>
      <c r="H298" s="110"/>
      <c r="I298" s="110"/>
      <c r="J298" s="110"/>
    </row>
    <row r="299" spans="2:10" ht="15.75" x14ac:dyDescent="0.25">
      <c r="B299" s="110"/>
      <c r="C299" s="110"/>
      <c r="D299" s="110"/>
      <c r="E299" s="110"/>
      <c r="F299" s="110"/>
      <c r="G299" s="110"/>
      <c r="H299" s="110"/>
      <c r="I299" s="110"/>
      <c r="J299" s="110"/>
    </row>
    <row r="300" spans="2:10" ht="15.75" x14ac:dyDescent="0.25">
      <c r="B300" s="109" t="s">
        <v>278</v>
      </c>
      <c r="C300" s="110"/>
      <c r="D300" s="110"/>
      <c r="E300" s="110"/>
      <c r="F300" s="110"/>
      <c r="G300" s="110"/>
      <c r="H300" s="110"/>
      <c r="I300" s="110"/>
      <c r="J300" s="110"/>
    </row>
    <row r="301" spans="2:10" ht="15.75" x14ac:dyDescent="0.25">
      <c r="B301" s="110"/>
      <c r="C301" s="110"/>
      <c r="D301" s="110"/>
      <c r="E301" s="110"/>
      <c r="F301" s="110"/>
      <c r="G301" s="110"/>
      <c r="H301" s="110"/>
      <c r="I301" s="110"/>
      <c r="J301" s="110"/>
    </row>
    <row r="302" spans="2:10" ht="15.75" x14ac:dyDescent="0.25">
      <c r="B302" s="110" t="s">
        <v>279</v>
      </c>
      <c r="C302" s="110"/>
      <c r="D302" s="110"/>
      <c r="E302" s="110"/>
      <c r="F302" s="110"/>
      <c r="G302" s="110"/>
      <c r="H302" s="110"/>
      <c r="I302" s="110"/>
      <c r="J302" s="110"/>
    </row>
    <row r="303" spans="2:10" ht="15.75" x14ac:dyDescent="0.25">
      <c r="B303" s="110" t="s">
        <v>280</v>
      </c>
      <c r="C303" s="110"/>
      <c r="D303" s="110"/>
      <c r="E303" s="110"/>
      <c r="F303" s="110"/>
      <c r="G303" s="110"/>
      <c r="H303" s="110"/>
      <c r="I303" s="110"/>
      <c r="J303" s="110"/>
    </row>
    <row r="304" spans="2:10" ht="15.75" x14ac:dyDescent="0.25">
      <c r="B304" s="110"/>
      <c r="C304" s="110"/>
      <c r="D304" s="110"/>
      <c r="E304" s="110"/>
      <c r="F304" s="110"/>
      <c r="G304" s="110"/>
      <c r="H304" s="110"/>
      <c r="I304" s="110"/>
      <c r="J304" s="110"/>
    </row>
    <row r="305" spans="2:10" ht="15.75" x14ac:dyDescent="0.25">
      <c r="B305" s="110"/>
      <c r="C305" s="110"/>
      <c r="D305" s="110"/>
      <c r="E305" s="110"/>
      <c r="F305" s="110"/>
      <c r="G305" s="110"/>
      <c r="H305" s="110"/>
      <c r="I305" s="110"/>
      <c r="J305" s="110"/>
    </row>
    <row r="306" spans="2:10" ht="15.75" x14ac:dyDescent="0.25">
      <c r="B306" s="109" t="s">
        <v>281</v>
      </c>
      <c r="C306" s="110"/>
      <c r="D306" s="110"/>
      <c r="E306" s="110"/>
      <c r="F306" s="110"/>
      <c r="G306" s="110"/>
      <c r="H306" s="110"/>
      <c r="I306" s="110"/>
      <c r="J306" s="110"/>
    </row>
    <row r="307" spans="2:10" ht="15.75" x14ac:dyDescent="0.25">
      <c r="B307" s="110"/>
      <c r="C307" s="110"/>
      <c r="D307" s="110"/>
      <c r="E307" s="110"/>
      <c r="F307" s="110"/>
      <c r="G307" s="110"/>
      <c r="H307" s="110"/>
      <c r="I307" s="110"/>
      <c r="J307" s="110"/>
    </row>
    <row r="308" spans="2:10" ht="15.75" x14ac:dyDescent="0.25">
      <c r="B308" s="110" t="s">
        <v>282</v>
      </c>
      <c r="C308" s="110"/>
      <c r="D308" s="110"/>
      <c r="E308" s="110"/>
      <c r="F308" s="110"/>
      <c r="G308" s="110"/>
      <c r="H308" s="110"/>
      <c r="I308" s="110"/>
      <c r="J308" s="110"/>
    </row>
    <row r="309" spans="2:10" ht="15.75" x14ac:dyDescent="0.25">
      <c r="B309" s="110" t="s">
        <v>283</v>
      </c>
      <c r="C309" s="110"/>
      <c r="D309" s="110"/>
      <c r="E309" s="110"/>
      <c r="F309" s="110"/>
      <c r="G309" s="110"/>
      <c r="H309" s="110"/>
      <c r="I309" s="110"/>
      <c r="J309" s="110"/>
    </row>
    <row r="310" spans="2:10" ht="15.75" x14ac:dyDescent="0.25">
      <c r="B310" s="110" t="s">
        <v>284</v>
      </c>
      <c r="C310" s="110"/>
      <c r="D310" s="110"/>
      <c r="E310" s="110"/>
      <c r="F310" s="110"/>
      <c r="G310" s="110"/>
      <c r="H310" s="110"/>
      <c r="I310" s="110"/>
      <c r="J310" s="110"/>
    </row>
    <row r="311" spans="2:10" ht="15.75" x14ac:dyDescent="0.25">
      <c r="B311" s="110"/>
      <c r="C311" s="110"/>
      <c r="D311" s="110"/>
      <c r="E311" s="110"/>
      <c r="F311" s="110"/>
      <c r="G311" s="110"/>
      <c r="H311" s="110"/>
      <c r="I311" s="110"/>
      <c r="J311" s="110"/>
    </row>
    <row r="312" spans="2:10" ht="15.75" x14ac:dyDescent="0.25">
      <c r="B312" s="109" t="s">
        <v>285</v>
      </c>
      <c r="C312" s="110"/>
      <c r="D312" s="110"/>
      <c r="E312" s="110"/>
      <c r="F312" s="110"/>
      <c r="G312" s="110"/>
      <c r="H312" s="110"/>
      <c r="I312" s="110"/>
      <c r="J312" s="110"/>
    </row>
    <row r="313" spans="2:10" ht="15.75" x14ac:dyDescent="0.25">
      <c r="B313" s="110"/>
      <c r="C313" s="110"/>
      <c r="D313" s="110"/>
      <c r="E313" s="110"/>
      <c r="F313" s="110"/>
      <c r="G313" s="110"/>
      <c r="H313" s="110"/>
      <c r="I313" s="110"/>
      <c r="J313" s="110"/>
    </row>
    <row r="314" spans="2:10" ht="15.75" x14ac:dyDescent="0.25">
      <c r="B314" s="110" t="s">
        <v>286</v>
      </c>
      <c r="C314" s="110"/>
      <c r="D314" s="110"/>
      <c r="E314" s="110"/>
      <c r="F314" s="110"/>
      <c r="G314" s="110"/>
      <c r="H314" s="110"/>
      <c r="I314" s="110"/>
      <c r="J314" s="110"/>
    </row>
    <row r="315" spans="2:10" ht="15.75" x14ac:dyDescent="0.25">
      <c r="B315" s="110" t="s">
        <v>287</v>
      </c>
      <c r="C315" s="110"/>
      <c r="D315" s="110"/>
      <c r="E315" s="110"/>
      <c r="F315" s="110"/>
      <c r="G315" s="110"/>
      <c r="H315" s="110"/>
      <c r="I315" s="110"/>
      <c r="J315" s="110"/>
    </row>
    <row r="316" spans="2:10" ht="15.75" x14ac:dyDescent="0.25">
      <c r="B316" s="110" t="s">
        <v>288</v>
      </c>
      <c r="C316" s="110"/>
      <c r="D316" s="110"/>
      <c r="E316" s="110"/>
      <c r="F316" s="110"/>
      <c r="G316" s="110"/>
      <c r="H316" s="110"/>
      <c r="I316" s="110"/>
      <c r="J316" s="110"/>
    </row>
    <row r="317" spans="2:10" ht="18.75" x14ac:dyDescent="0.3">
      <c r="G317" s="136"/>
    </row>
    <row r="322" spans="2:12" x14ac:dyDescent="0.25">
      <c r="B322" s="17"/>
    </row>
    <row r="324" spans="2:12" x14ac:dyDescent="0.25">
      <c r="B324" s="17"/>
    </row>
    <row r="328" spans="2:12" x14ac:dyDescent="0.25">
      <c r="B328" s="17"/>
      <c r="F328" s="63"/>
      <c r="G328" s="63"/>
      <c r="H328" s="63"/>
      <c r="I328" s="63"/>
      <c r="J328" s="88"/>
      <c r="K328" s="88"/>
      <c r="L328" s="88"/>
    </row>
    <row r="329" spans="2:12" x14ac:dyDescent="0.25">
      <c r="F329" s="128"/>
      <c r="G329" s="128"/>
      <c r="H329" s="128"/>
      <c r="I329" s="128"/>
      <c r="J329" s="89"/>
      <c r="K329" s="89"/>
      <c r="L329" s="89"/>
    </row>
    <row r="330" spans="2:12" x14ac:dyDescent="0.25">
      <c r="F330" s="128"/>
      <c r="G330" s="128"/>
      <c r="H330" s="128"/>
      <c r="I330" s="128"/>
      <c r="J330" s="89"/>
      <c r="K330" s="89"/>
      <c r="L330" s="89"/>
    </row>
    <row r="331" spans="2:12" x14ac:dyDescent="0.25">
      <c r="F331" s="128"/>
      <c r="G331" s="128"/>
      <c r="H331" s="128"/>
      <c r="I331" s="128"/>
      <c r="J331" s="89"/>
      <c r="K331" s="89"/>
      <c r="L331" s="89"/>
    </row>
    <row r="332" spans="2:12" x14ac:dyDescent="0.25">
      <c r="F332" s="128"/>
      <c r="G332" s="128"/>
      <c r="H332" s="128"/>
      <c r="I332" s="128"/>
      <c r="J332" s="89"/>
      <c r="K332" s="89"/>
      <c r="L332" s="90"/>
    </row>
    <row r="333" spans="2:12" x14ac:dyDescent="0.25">
      <c r="F333" s="128"/>
      <c r="G333" s="128"/>
      <c r="H333" s="128"/>
      <c r="I333" s="128"/>
      <c r="J333" s="89"/>
      <c r="K333" s="89"/>
      <c r="L333" s="91"/>
    </row>
    <row r="334" spans="2:12" x14ac:dyDescent="0.25">
      <c r="B334" s="17"/>
      <c r="C334" s="17"/>
      <c r="D334" s="17"/>
      <c r="E334" s="17"/>
      <c r="F334" s="97"/>
      <c r="G334" s="97"/>
      <c r="H334" s="97"/>
      <c r="I334" s="97"/>
      <c r="J334" s="90"/>
      <c r="K334" s="90"/>
      <c r="L334" s="90"/>
    </row>
    <row r="337" spans="2:12" x14ac:dyDescent="0.25">
      <c r="B337" s="17"/>
    </row>
    <row r="338" spans="2:12" x14ac:dyDescent="0.25">
      <c r="B338" s="17"/>
    </row>
    <row r="340" spans="2:12" x14ac:dyDescent="0.25">
      <c r="J340" s="82"/>
    </row>
    <row r="341" spans="2:12" x14ac:dyDescent="0.25">
      <c r="B341" s="17"/>
    </row>
    <row r="343" spans="2:12" x14ac:dyDescent="0.25">
      <c r="B343" s="17"/>
    </row>
    <row r="345" spans="2:12" x14ac:dyDescent="0.25">
      <c r="B345" s="17"/>
      <c r="F345" s="63"/>
      <c r="G345" s="63"/>
      <c r="H345" s="63"/>
      <c r="I345" s="63"/>
      <c r="J345" s="63"/>
      <c r="K345" s="63"/>
      <c r="L345" s="63"/>
    </row>
    <row r="346" spans="2:12" x14ac:dyDescent="0.25">
      <c r="F346" s="82"/>
      <c r="G346" s="82"/>
      <c r="H346" s="128"/>
      <c r="I346" s="82"/>
      <c r="J346" s="93"/>
      <c r="K346" s="93"/>
      <c r="L346" s="93"/>
    </row>
    <row r="347" spans="2:12" x14ac:dyDescent="0.25">
      <c r="F347" s="82"/>
      <c r="G347" s="82"/>
      <c r="H347" s="128"/>
      <c r="I347" s="82"/>
      <c r="J347" s="93"/>
      <c r="K347" s="93"/>
      <c r="L347" s="93"/>
    </row>
    <row r="348" spans="2:12" x14ac:dyDescent="0.25">
      <c r="F348" s="82"/>
      <c r="G348" s="82"/>
      <c r="H348" s="209"/>
      <c r="I348" s="82"/>
      <c r="J348" s="93"/>
      <c r="K348" s="93"/>
      <c r="L348" s="93"/>
    </row>
    <row r="349" spans="2:12" x14ac:dyDescent="0.25">
      <c r="B349" s="17"/>
      <c r="F349" s="97"/>
      <c r="G349" s="97"/>
      <c r="H349" s="97"/>
      <c r="I349" s="97"/>
      <c r="J349" s="94"/>
      <c r="K349" s="94"/>
      <c r="L349" s="94"/>
    </row>
    <row r="350" spans="2:12" x14ac:dyDescent="0.25">
      <c r="H350" s="82"/>
      <c r="J350" s="82"/>
      <c r="K350" s="18"/>
      <c r="L350" s="18"/>
    </row>
    <row r="351" spans="2:12" x14ac:dyDescent="0.25">
      <c r="H351" s="82"/>
      <c r="J351" s="82"/>
      <c r="K351" s="18"/>
      <c r="L351" s="18"/>
    </row>
    <row r="352" spans="2:12" x14ac:dyDescent="0.25">
      <c r="H352" s="82"/>
    </row>
    <row r="355" spans="2:12" x14ac:dyDescent="0.25">
      <c r="B355" s="17"/>
    </row>
    <row r="356" spans="2:12" x14ac:dyDescent="0.25">
      <c r="B356" s="17"/>
    </row>
    <row r="358" spans="2:12" x14ac:dyDescent="0.25">
      <c r="B358" s="17"/>
    </row>
    <row r="359" spans="2:12" x14ac:dyDescent="0.25">
      <c r="F359" s="63"/>
      <c r="G359" s="63"/>
      <c r="H359" s="63"/>
      <c r="I359" s="63"/>
      <c r="J359" s="63"/>
      <c r="K359" s="63"/>
      <c r="L359" s="63"/>
    </row>
    <row r="360" spans="2:12" x14ac:dyDescent="0.25">
      <c r="B360" s="1"/>
      <c r="F360" s="128"/>
      <c r="G360" s="128"/>
      <c r="H360" s="209"/>
      <c r="I360" s="128"/>
      <c r="J360" s="93"/>
      <c r="K360" s="93"/>
      <c r="L360" s="93"/>
    </row>
    <row r="361" spans="2:12" x14ac:dyDescent="0.25">
      <c r="B361" s="1"/>
      <c r="F361" s="128"/>
      <c r="G361" s="128"/>
      <c r="H361" s="209"/>
      <c r="I361" s="128"/>
      <c r="J361" s="93"/>
      <c r="K361" s="93"/>
      <c r="L361" s="93"/>
    </row>
    <row r="362" spans="2:12" x14ac:dyDescent="0.25">
      <c r="B362" s="1"/>
      <c r="F362" s="128"/>
      <c r="G362" s="128"/>
      <c r="H362" s="209"/>
      <c r="I362" s="128"/>
      <c r="J362" s="93"/>
      <c r="K362" s="93"/>
      <c r="L362" s="93"/>
    </row>
    <row r="363" spans="2:12" x14ac:dyDescent="0.25">
      <c r="B363" s="1"/>
      <c r="F363" s="128"/>
      <c r="G363" s="128"/>
      <c r="H363" s="209"/>
      <c r="I363" s="128"/>
      <c r="J363" s="93"/>
      <c r="K363" s="93"/>
      <c r="L363" s="93"/>
    </row>
    <row r="364" spans="2:12" x14ac:dyDescent="0.25">
      <c r="B364" s="1"/>
      <c r="F364" s="128"/>
      <c r="G364" s="128"/>
      <c r="H364" s="209"/>
      <c r="I364" s="128"/>
      <c r="J364" s="93"/>
      <c r="K364" s="93"/>
      <c r="L364" s="93"/>
    </row>
    <row r="365" spans="2:12" x14ac:dyDescent="0.25">
      <c r="B365" s="1"/>
      <c r="F365" s="128"/>
      <c r="G365" s="128"/>
      <c r="H365" s="209"/>
      <c r="I365" s="128"/>
      <c r="J365" s="93"/>
      <c r="K365" s="93"/>
      <c r="L365" s="93"/>
    </row>
    <row r="366" spans="2:12" x14ac:dyDescent="0.25">
      <c r="B366" s="1"/>
      <c r="F366" s="128"/>
      <c r="G366" s="128"/>
      <c r="H366" s="209"/>
      <c r="I366" s="128"/>
      <c r="J366" s="93"/>
      <c r="K366" s="93"/>
      <c r="L366" s="93"/>
    </row>
    <row r="367" spans="2:12" x14ac:dyDescent="0.25">
      <c r="B367" s="1"/>
      <c r="F367" s="128"/>
      <c r="G367" s="128"/>
      <c r="H367" s="209"/>
      <c r="I367" s="128"/>
      <c r="J367" s="93"/>
      <c r="K367" s="93"/>
      <c r="L367" s="93"/>
    </row>
    <row r="368" spans="2:12" x14ac:dyDescent="0.25">
      <c r="B368" s="1"/>
      <c r="F368" s="128"/>
      <c r="G368" s="128"/>
      <c r="H368" s="209"/>
      <c r="I368" s="128"/>
      <c r="J368" s="93"/>
      <c r="K368" s="93"/>
      <c r="L368" s="93"/>
    </row>
    <row r="369" spans="2:12" x14ac:dyDescent="0.25">
      <c r="B369" s="1"/>
      <c r="F369" s="128"/>
      <c r="G369" s="128"/>
      <c r="H369" s="209"/>
      <c r="I369" s="128"/>
      <c r="J369" s="93"/>
      <c r="K369" s="93"/>
      <c r="L369" s="93"/>
    </row>
    <row r="370" spans="2:12" x14ac:dyDescent="0.25">
      <c r="B370" s="1"/>
      <c r="F370" s="128"/>
      <c r="G370" s="128"/>
      <c r="H370" s="209"/>
      <c r="I370" s="128"/>
      <c r="J370" s="93"/>
      <c r="K370" s="93"/>
      <c r="L370" s="93"/>
    </row>
    <row r="371" spans="2:12" x14ac:dyDescent="0.25">
      <c r="B371" s="1"/>
      <c r="F371" s="128"/>
      <c r="G371" s="128"/>
      <c r="H371" s="128"/>
      <c r="I371" s="128"/>
      <c r="J371" s="93"/>
      <c r="K371" s="93"/>
      <c r="L371" s="93"/>
    </row>
    <row r="372" spans="2:12" x14ac:dyDescent="0.25">
      <c r="B372" s="1"/>
      <c r="F372" s="128"/>
      <c r="G372" s="128"/>
      <c r="H372" s="209"/>
      <c r="I372" s="128"/>
      <c r="J372" s="93"/>
      <c r="K372" s="93"/>
      <c r="L372" s="93"/>
    </row>
    <row r="373" spans="2:12" x14ac:dyDescent="0.25">
      <c r="B373" s="1"/>
      <c r="F373" s="128"/>
      <c r="G373" s="128"/>
      <c r="H373" s="128"/>
      <c r="I373" s="128"/>
      <c r="J373" s="93"/>
      <c r="K373" s="93"/>
      <c r="L373" s="93"/>
    </row>
    <row r="374" spans="2:12" x14ac:dyDescent="0.25">
      <c r="B374" s="1"/>
      <c r="F374" s="128"/>
      <c r="G374" s="128"/>
      <c r="H374" s="128"/>
      <c r="I374" s="128"/>
      <c r="J374" s="93"/>
      <c r="K374" s="93"/>
      <c r="L374" s="93"/>
    </row>
    <row r="375" spans="2:12" x14ac:dyDescent="0.25">
      <c r="B375" s="1"/>
      <c r="F375" s="128"/>
      <c r="G375" s="128"/>
      <c r="H375" s="209"/>
      <c r="I375" s="128"/>
      <c r="J375" s="93"/>
      <c r="K375" s="93"/>
      <c r="L375" s="93"/>
    </row>
    <row r="376" spans="2:12" x14ac:dyDescent="0.25">
      <c r="B376" s="1"/>
      <c r="F376" s="128"/>
      <c r="G376" s="128"/>
      <c r="H376" s="209"/>
      <c r="I376" s="128"/>
      <c r="J376" s="93"/>
      <c r="K376" s="93"/>
      <c r="L376" s="93"/>
    </row>
    <row r="377" spans="2:12" x14ac:dyDescent="0.25">
      <c r="B377" s="1"/>
      <c r="F377" s="128"/>
      <c r="G377" s="128"/>
      <c r="H377" s="209"/>
      <c r="I377" s="128"/>
      <c r="J377" s="93"/>
      <c r="K377" s="93"/>
      <c r="L377" s="93"/>
    </row>
    <row r="378" spans="2:12" x14ac:dyDescent="0.25">
      <c r="B378" s="1"/>
      <c r="F378" s="128"/>
      <c r="G378" s="128"/>
      <c r="H378" s="209"/>
      <c r="I378" s="128"/>
      <c r="J378" s="93"/>
      <c r="K378" s="93"/>
      <c r="L378" s="93"/>
    </row>
    <row r="379" spans="2:12" x14ac:dyDescent="0.25">
      <c r="B379" s="1"/>
      <c r="F379" s="128"/>
      <c r="G379" s="128"/>
      <c r="H379" s="209"/>
      <c r="I379" s="128"/>
      <c r="J379" s="93"/>
      <c r="K379" s="93"/>
      <c r="L379" s="93"/>
    </row>
    <row r="380" spans="2:12" x14ac:dyDescent="0.25">
      <c r="B380" s="1"/>
      <c r="F380" s="128"/>
      <c r="G380" s="128"/>
      <c r="H380" s="209"/>
      <c r="I380" s="128"/>
      <c r="J380" s="93"/>
      <c r="K380" s="93"/>
      <c r="L380" s="93"/>
    </row>
    <row r="381" spans="2:12" x14ac:dyDescent="0.25">
      <c r="B381" s="1"/>
      <c r="F381" s="128"/>
      <c r="G381" s="128"/>
      <c r="H381" s="209"/>
      <c r="I381" s="128"/>
      <c r="J381" s="93"/>
      <c r="K381" s="93"/>
      <c r="L381" s="93"/>
    </row>
    <row r="382" spans="2:12" x14ac:dyDescent="0.25">
      <c r="B382" s="1"/>
      <c r="F382" s="210"/>
      <c r="G382" s="210"/>
      <c r="H382" s="209"/>
      <c r="I382" s="128"/>
      <c r="J382" s="93"/>
      <c r="K382" s="93"/>
      <c r="L382" s="94"/>
    </row>
    <row r="383" spans="2:12" x14ac:dyDescent="0.25">
      <c r="B383" s="6"/>
      <c r="F383" s="135"/>
      <c r="G383" s="135"/>
      <c r="H383" s="135"/>
      <c r="I383" s="87"/>
      <c r="J383" s="94"/>
      <c r="K383" s="94"/>
    </row>
    <row r="385" spans="1:12" x14ac:dyDescent="0.25">
      <c r="B385" s="6"/>
    </row>
    <row r="386" spans="1:12" x14ac:dyDescent="0.25">
      <c r="B386" s="6"/>
    </row>
    <row r="387" spans="1:12" x14ac:dyDescent="0.25">
      <c r="B387" s="17"/>
    </row>
    <row r="388" spans="1:12" x14ac:dyDescent="0.25">
      <c r="B388" s="17"/>
    </row>
    <row r="391" spans="1:12" x14ac:dyDescent="0.25">
      <c r="B391" s="17"/>
    </row>
    <row r="393" spans="1:12" x14ac:dyDescent="0.25">
      <c r="B393" s="17"/>
      <c r="C393" s="17"/>
      <c r="D393" s="17"/>
      <c r="E393" s="17"/>
      <c r="F393" s="17"/>
      <c r="G393" s="17"/>
      <c r="H393" s="17"/>
      <c r="I393" s="17"/>
      <c r="J393" s="17"/>
    </row>
    <row r="394" spans="1:12" x14ac:dyDescent="0.25">
      <c r="B394" s="17"/>
      <c r="C394" s="17"/>
      <c r="D394" s="17"/>
      <c r="E394" s="17"/>
      <c r="F394" s="17"/>
      <c r="G394" s="17"/>
      <c r="H394" s="17"/>
      <c r="I394" s="17"/>
      <c r="J394" s="17"/>
    </row>
    <row r="396" spans="1:12" x14ac:dyDescent="0.25">
      <c r="B396" s="17"/>
      <c r="F396" s="63"/>
      <c r="G396" s="63"/>
      <c r="H396" s="63"/>
      <c r="I396" s="63"/>
      <c r="J396" s="63"/>
      <c r="K396" s="63"/>
      <c r="L396" s="63"/>
    </row>
    <row r="397" spans="1:12" x14ac:dyDescent="0.25">
      <c r="B397" s="1"/>
      <c r="F397" s="128"/>
      <c r="G397" s="128"/>
      <c r="H397" s="128"/>
      <c r="I397" s="128"/>
      <c r="J397" s="93"/>
      <c r="K397" s="93"/>
      <c r="L397" s="93"/>
    </row>
    <row r="398" spans="1:12" x14ac:dyDescent="0.25">
      <c r="B398" s="1"/>
      <c r="F398" s="128"/>
      <c r="G398" s="128"/>
      <c r="H398" s="209"/>
      <c r="I398" s="128"/>
      <c r="J398" s="93"/>
      <c r="K398" s="93"/>
      <c r="L398" s="93"/>
    </row>
    <row r="399" spans="1:12" x14ac:dyDescent="0.25">
      <c r="A399" s="17"/>
      <c r="B399" s="1"/>
      <c r="F399" s="128"/>
      <c r="G399" s="128"/>
      <c r="H399" s="209"/>
      <c r="I399" s="128"/>
      <c r="J399" s="93"/>
      <c r="K399" s="93"/>
      <c r="L399" s="93"/>
    </row>
    <row r="400" spans="1:12" x14ac:dyDescent="0.25">
      <c r="B400" s="1"/>
      <c r="F400" s="128"/>
      <c r="G400" s="128"/>
      <c r="H400" s="209"/>
      <c r="I400" s="128"/>
      <c r="J400" s="93"/>
      <c r="K400" s="93"/>
      <c r="L400" s="93"/>
    </row>
    <row r="401" spans="2:12" x14ac:dyDescent="0.25">
      <c r="B401" s="1"/>
      <c r="F401" s="128"/>
      <c r="G401" s="128"/>
      <c r="H401" s="209"/>
      <c r="I401" s="128"/>
      <c r="J401" s="93"/>
      <c r="K401" s="93"/>
      <c r="L401" s="93"/>
    </row>
    <row r="402" spans="2:12" x14ac:dyDescent="0.25">
      <c r="B402" s="1"/>
      <c r="F402" s="128"/>
      <c r="G402" s="128"/>
      <c r="H402" s="209"/>
      <c r="I402" s="128"/>
      <c r="J402" s="93"/>
      <c r="K402" s="93"/>
      <c r="L402" s="93"/>
    </row>
    <row r="403" spans="2:12" x14ac:dyDescent="0.25">
      <c r="B403" s="1"/>
      <c r="F403" s="128"/>
      <c r="G403" s="128"/>
      <c r="H403" s="209"/>
      <c r="I403" s="128"/>
      <c r="J403" s="93"/>
      <c r="K403" s="93"/>
      <c r="L403" s="93"/>
    </row>
    <row r="404" spans="2:12" x14ac:dyDescent="0.25">
      <c r="B404" s="1"/>
      <c r="F404" s="128"/>
      <c r="G404" s="128"/>
      <c r="H404" s="209"/>
      <c r="I404" s="128"/>
      <c r="J404" s="93"/>
      <c r="K404" s="94"/>
      <c r="L404" s="94"/>
    </row>
    <row r="405" spans="2:12" x14ac:dyDescent="0.25">
      <c r="B405" s="1"/>
      <c r="F405" s="128"/>
      <c r="G405" s="128"/>
      <c r="H405" s="209"/>
      <c r="I405" s="128"/>
      <c r="J405" s="93"/>
    </row>
    <row r="406" spans="2:12" x14ac:dyDescent="0.25">
      <c r="B406" s="1"/>
      <c r="F406" s="128"/>
      <c r="G406" s="128"/>
      <c r="H406" s="209"/>
      <c r="I406" s="128"/>
      <c r="J406" s="93"/>
    </row>
    <row r="407" spans="2:12" x14ac:dyDescent="0.25">
      <c r="B407" s="6"/>
      <c r="F407" s="16"/>
      <c r="G407" s="16"/>
      <c r="H407" s="16"/>
      <c r="I407" s="84"/>
      <c r="J407" s="93"/>
    </row>
    <row r="409" spans="2:12" x14ac:dyDescent="0.25">
      <c r="B409" s="17"/>
      <c r="F409" s="84"/>
      <c r="G409" s="84"/>
    </row>
    <row r="411" spans="2:12" x14ac:dyDescent="0.25">
      <c r="B411" s="17"/>
    </row>
    <row r="412" spans="2:12" x14ac:dyDescent="0.25">
      <c r="B412" s="17"/>
    </row>
    <row r="413" spans="2:12" x14ac:dyDescent="0.25">
      <c r="B413" s="17"/>
    </row>
    <row r="414" spans="2:12" x14ac:dyDescent="0.25">
      <c r="I414" s="63"/>
    </row>
    <row r="415" spans="2:12" x14ac:dyDescent="0.25">
      <c r="B415" s="17"/>
      <c r="F415" s="63"/>
      <c r="G415" s="63"/>
      <c r="H415" s="63"/>
      <c r="I415" s="63"/>
      <c r="J415" s="63"/>
      <c r="K415" s="63"/>
      <c r="L415" s="63"/>
    </row>
    <row r="416" spans="2:12" x14ac:dyDescent="0.25">
      <c r="B416" s="1"/>
      <c r="F416" s="128"/>
      <c r="G416" s="128"/>
      <c r="H416" s="128"/>
      <c r="I416" s="54"/>
      <c r="J416" s="134"/>
      <c r="K416" s="93"/>
      <c r="L416" s="93"/>
    </row>
    <row r="417" spans="2:12" x14ac:dyDescent="0.25">
      <c r="B417" s="1"/>
      <c r="F417" s="128"/>
      <c r="G417" s="128"/>
      <c r="H417" s="128"/>
      <c r="I417" s="128"/>
      <c r="J417" s="134"/>
      <c r="K417" s="93"/>
      <c r="L417" s="93"/>
    </row>
    <row r="418" spans="2:12" x14ac:dyDescent="0.25">
      <c r="B418" s="17"/>
      <c r="F418" s="97"/>
      <c r="G418" s="97"/>
      <c r="H418" s="135"/>
      <c r="I418" s="135"/>
      <c r="J418" s="90"/>
      <c r="K418" s="94"/>
      <c r="L418" s="94"/>
    </row>
    <row r="422" spans="2:12" x14ac:dyDescent="0.25">
      <c r="B422" s="17"/>
    </row>
    <row r="423" spans="2:12" x14ac:dyDescent="0.25">
      <c r="B423" s="17"/>
    </row>
    <row r="428" spans="2:12" x14ac:dyDescent="0.25">
      <c r="B428" s="17"/>
    </row>
    <row r="429" spans="2:12" x14ac:dyDescent="0.25">
      <c r="B429" s="17"/>
      <c r="F429" s="63"/>
      <c r="G429" s="63"/>
      <c r="H429" s="63"/>
      <c r="I429" s="63"/>
      <c r="J429" s="63"/>
      <c r="K429" s="63"/>
      <c r="L429" s="63"/>
    </row>
    <row r="430" spans="2:12" x14ac:dyDescent="0.25">
      <c r="B430" s="1"/>
      <c r="F430" s="130"/>
      <c r="G430" s="130"/>
      <c r="H430" s="130"/>
      <c r="I430" s="130"/>
      <c r="J430" s="211"/>
      <c r="K430" s="82"/>
      <c r="L430" s="96"/>
    </row>
    <row r="431" spans="2:12" x14ac:dyDescent="0.25">
      <c r="B431" s="1"/>
      <c r="F431" s="130"/>
      <c r="G431" s="130"/>
      <c r="H431" s="130"/>
      <c r="I431" s="130"/>
      <c r="J431" s="211"/>
      <c r="K431" s="82"/>
      <c r="L431" s="96"/>
    </row>
    <row r="432" spans="2:12" x14ac:dyDescent="0.25">
      <c r="B432" s="1"/>
      <c r="F432" s="130"/>
      <c r="G432" s="130"/>
      <c r="H432" s="130"/>
      <c r="I432" s="130"/>
      <c r="J432" s="211"/>
      <c r="K432" s="82"/>
      <c r="L432" s="96"/>
    </row>
    <row r="433" spans="2:12" x14ac:dyDescent="0.25">
      <c r="B433" s="1"/>
      <c r="F433" s="130"/>
      <c r="G433" s="130"/>
      <c r="H433" s="130"/>
      <c r="I433" s="130"/>
      <c r="J433" s="211"/>
      <c r="K433" s="82"/>
      <c r="L433" s="96"/>
    </row>
    <row r="434" spans="2:12" x14ac:dyDescent="0.25">
      <c r="B434" s="6"/>
      <c r="F434" s="112"/>
      <c r="G434" s="112"/>
      <c r="H434" s="112"/>
      <c r="I434" s="132"/>
      <c r="J434" s="212"/>
      <c r="K434" s="97"/>
      <c r="L434" s="98"/>
    </row>
    <row r="435" spans="2:12" x14ac:dyDescent="0.25">
      <c r="J435" s="132"/>
      <c r="K435" s="18"/>
      <c r="L435" s="68"/>
    </row>
    <row r="436" spans="2:12" x14ac:dyDescent="0.25">
      <c r="H436" s="211"/>
    </row>
    <row r="437" spans="2:12" x14ac:dyDescent="0.25">
      <c r="H437" s="93"/>
    </row>
    <row r="438" spans="2:12" x14ac:dyDescent="0.25">
      <c r="H438" s="93"/>
    </row>
    <row r="439" spans="2:12" x14ac:dyDescent="0.25">
      <c r="H439" s="93"/>
    </row>
    <row r="440" spans="2:12" x14ac:dyDescent="0.25">
      <c r="B440" s="17"/>
      <c r="H440" s="213"/>
    </row>
    <row r="443" spans="2:12" x14ac:dyDescent="0.25">
      <c r="B443" s="17"/>
    </row>
    <row r="444" spans="2:12" x14ac:dyDescent="0.25">
      <c r="D444" s="84"/>
      <c r="F444" s="84"/>
      <c r="G444" s="84"/>
      <c r="I444" s="84"/>
      <c r="J444" s="84"/>
    </row>
    <row r="445" spans="2:12" x14ac:dyDescent="0.25">
      <c r="B445" s="17"/>
    </row>
    <row r="447" spans="2:12" x14ac:dyDescent="0.25">
      <c r="B447" s="17"/>
    </row>
    <row r="449" spans="2:12" x14ac:dyDescent="0.25">
      <c r="B449" s="17"/>
    </row>
    <row r="452" spans="2:12" x14ac:dyDescent="0.25">
      <c r="L452" s="68"/>
    </row>
    <row r="455" spans="2:12" x14ac:dyDescent="0.25">
      <c r="B455" s="17"/>
      <c r="I455" s="63"/>
      <c r="J455" s="63"/>
      <c r="K455" s="63"/>
      <c r="L455" s="63"/>
    </row>
    <row r="456" spans="2:12" x14ac:dyDescent="0.25">
      <c r="B456" s="17"/>
      <c r="F456" s="63"/>
      <c r="G456" s="63"/>
      <c r="H456" s="63"/>
      <c r="I456" s="63"/>
      <c r="J456" s="63"/>
      <c r="K456" s="103"/>
    </row>
    <row r="457" spans="2:12" x14ac:dyDescent="0.25">
      <c r="F457" s="128"/>
      <c r="G457" s="128"/>
      <c r="H457" s="128"/>
      <c r="I457" s="128"/>
      <c r="J457" s="93"/>
      <c r="K457" s="104"/>
    </row>
    <row r="458" spans="2:12" x14ac:dyDescent="0.25">
      <c r="F458" s="128"/>
      <c r="G458" s="128"/>
      <c r="H458" s="128"/>
      <c r="I458" s="128"/>
      <c r="J458" s="93"/>
      <c r="K458" s="104"/>
    </row>
    <row r="459" spans="2:12" x14ac:dyDescent="0.25">
      <c r="F459" s="128"/>
      <c r="G459" s="128"/>
      <c r="H459" s="128"/>
      <c r="I459" s="128"/>
      <c r="J459" s="93"/>
      <c r="K459" s="104"/>
    </row>
    <row r="460" spans="2:12" x14ac:dyDescent="0.25">
      <c r="B460" s="17"/>
      <c r="F460" s="97"/>
      <c r="G460" s="97"/>
      <c r="H460" s="97"/>
      <c r="I460" s="135"/>
      <c r="J460" s="94"/>
      <c r="K460" s="104"/>
    </row>
    <row r="464" spans="2:12" x14ac:dyDescent="0.25">
      <c r="B464" s="17"/>
    </row>
    <row r="465" spans="2:11" x14ac:dyDescent="0.25">
      <c r="B465" s="17"/>
    </row>
    <row r="466" spans="2:11" x14ac:dyDescent="0.25">
      <c r="B466" s="17"/>
    </row>
    <row r="467" spans="2:11" x14ac:dyDescent="0.25">
      <c r="B467" s="17"/>
    </row>
    <row r="468" spans="2:11" x14ac:dyDescent="0.25">
      <c r="B468" s="17"/>
    </row>
    <row r="469" spans="2:11" x14ac:dyDescent="0.25">
      <c r="B469" s="17"/>
    </row>
    <row r="470" spans="2:11" x14ac:dyDescent="0.25">
      <c r="B470" s="17"/>
    </row>
    <row r="471" spans="2:11" x14ac:dyDescent="0.25">
      <c r="B471" s="17"/>
      <c r="F471" s="63"/>
      <c r="G471" s="63"/>
      <c r="H471" s="63"/>
      <c r="I471" s="63"/>
      <c r="J471" s="63"/>
      <c r="K471" s="63"/>
    </row>
    <row r="472" spans="2:11" x14ac:dyDescent="0.25">
      <c r="F472" s="214"/>
      <c r="G472" s="214"/>
      <c r="H472" s="131"/>
      <c r="I472" s="131"/>
      <c r="J472" s="93"/>
      <c r="K472" s="93"/>
    </row>
    <row r="473" spans="2:11" x14ac:dyDescent="0.25">
      <c r="F473" s="214"/>
      <c r="G473" s="214"/>
      <c r="H473" s="131"/>
      <c r="I473" s="131"/>
      <c r="J473" s="93"/>
      <c r="K473" s="93"/>
    </row>
    <row r="474" spans="2:11" x14ac:dyDescent="0.25">
      <c r="F474" s="214"/>
      <c r="G474" s="214"/>
      <c r="H474" s="131"/>
      <c r="I474" s="131"/>
      <c r="J474" s="93"/>
      <c r="K474" s="93"/>
    </row>
    <row r="475" spans="2:11" x14ac:dyDescent="0.25">
      <c r="F475" s="214"/>
      <c r="G475" s="214"/>
      <c r="H475" s="131"/>
      <c r="I475" s="131"/>
      <c r="J475" s="93"/>
      <c r="K475" s="93"/>
    </row>
    <row r="476" spans="2:11" x14ac:dyDescent="0.25">
      <c r="F476" s="214"/>
      <c r="G476" s="214"/>
      <c r="H476" s="131"/>
      <c r="I476" s="131"/>
      <c r="J476" s="93"/>
      <c r="K476" s="93"/>
    </row>
    <row r="477" spans="2:11" x14ac:dyDescent="0.25">
      <c r="B477" s="17"/>
      <c r="F477" s="135"/>
      <c r="G477" s="135"/>
      <c r="H477" s="97"/>
      <c r="I477" s="97"/>
      <c r="J477" s="94"/>
      <c r="K477" s="94"/>
    </row>
    <row r="481" spans="2:11" x14ac:dyDescent="0.25">
      <c r="B481" s="17"/>
    </row>
    <row r="486" spans="2:11" x14ac:dyDescent="0.25">
      <c r="B486" s="17"/>
      <c r="F486" s="63"/>
      <c r="G486" s="63"/>
      <c r="H486" s="63"/>
      <c r="I486" s="63"/>
      <c r="J486" s="63"/>
      <c r="K486" s="63"/>
    </row>
    <row r="487" spans="2:11" x14ac:dyDescent="0.25">
      <c r="B487" s="81"/>
      <c r="F487" s="70"/>
      <c r="G487" s="70"/>
      <c r="H487" s="75"/>
      <c r="I487" s="82"/>
      <c r="J487" s="93"/>
      <c r="K487" s="16"/>
    </row>
    <row r="488" spans="2:11" x14ac:dyDescent="0.25">
      <c r="B488" s="81"/>
      <c r="F488" s="70"/>
      <c r="G488" s="70"/>
      <c r="H488" s="76"/>
      <c r="I488" s="82"/>
      <c r="J488" s="93"/>
      <c r="K488" s="82"/>
    </row>
    <row r="489" spans="2:11" x14ac:dyDescent="0.25">
      <c r="B489" s="81"/>
      <c r="F489" s="70"/>
      <c r="G489" s="70"/>
      <c r="H489" s="75"/>
      <c r="I489" s="82"/>
      <c r="J489" s="93"/>
      <c r="K489" s="82"/>
    </row>
    <row r="490" spans="2:11" x14ac:dyDescent="0.25">
      <c r="B490" s="80"/>
      <c r="F490" s="215"/>
      <c r="G490" s="215"/>
      <c r="H490" s="215"/>
      <c r="I490" s="215"/>
      <c r="J490" s="94"/>
      <c r="K490" s="94"/>
    </row>
    <row r="494" spans="2:11" x14ac:dyDescent="0.25">
      <c r="B494" s="17"/>
    </row>
    <row r="500" spans="2:11" x14ac:dyDescent="0.25">
      <c r="B500" s="17"/>
      <c r="F500" s="63"/>
      <c r="G500" s="63"/>
      <c r="H500" s="63"/>
      <c r="I500" s="63"/>
      <c r="J500" s="63"/>
      <c r="K500" s="63"/>
    </row>
    <row r="501" spans="2:11" x14ac:dyDescent="0.25">
      <c r="B501" s="1"/>
      <c r="F501" s="82"/>
      <c r="G501" s="82"/>
      <c r="H501" s="128"/>
      <c r="I501" s="100"/>
      <c r="J501" s="93"/>
      <c r="K501" s="93"/>
    </row>
    <row r="502" spans="2:11" x14ac:dyDescent="0.25">
      <c r="B502" s="1"/>
      <c r="F502" s="82"/>
      <c r="G502" s="82"/>
      <c r="H502" s="128"/>
      <c r="I502" s="100"/>
      <c r="J502" s="93"/>
      <c r="K502" s="93"/>
    </row>
    <row r="503" spans="2:11" x14ac:dyDescent="0.25">
      <c r="B503" s="1"/>
      <c r="F503" s="82"/>
      <c r="G503" s="82"/>
      <c r="H503" s="128"/>
      <c r="I503" s="100"/>
      <c r="J503" s="93"/>
      <c r="K503" s="93"/>
    </row>
    <row r="504" spans="2:11" x14ac:dyDescent="0.25">
      <c r="B504" s="1"/>
      <c r="F504" s="82"/>
      <c r="G504" s="82"/>
      <c r="H504" s="128"/>
      <c r="I504" s="100"/>
      <c r="J504" s="93"/>
      <c r="K504" s="93"/>
    </row>
    <row r="505" spans="2:11" x14ac:dyDescent="0.25">
      <c r="B505" s="1"/>
      <c r="F505" s="82"/>
      <c r="G505" s="82"/>
      <c r="H505" s="128"/>
      <c r="I505" s="100"/>
      <c r="J505" s="93"/>
      <c r="K505" s="93"/>
    </row>
    <row r="506" spans="2:11" x14ac:dyDescent="0.25">
      <c r="B506" s="1"/>
      <c r="F506" s="82"/>
      <c r="G506" s="82"/>
      <c r="H506" s="131"/>
      <c r="I506" s="100"/>
      <c r="J506" s="93"/>
      <c r="K506" s="93"/>
    </row>
    <row r="507" spans="2:11" x14ac:dyDescent="0.25">
      <c r="B507" s="6"/>
      <c r="F507" s="135"/>
      <c r="G507" s="135"/>
      <c r="H507" s="97"/>
      <c r="I507" s="135"/>
      <c r="J507" s="94"/>
      <c r="K507" s="94"/>
    </row>
    <row r="512" spans="2:11" x14ac:dyDescent="0.25">
      <c r="B512" s="17"/>
      <c r="H512" s="63"/>
      <c r="I512" s="63"/>
      <c r="J512" s="63"/>
      <c r="K512" s="63"/>
    </row>
    <row r="518" spans="2:11" x14ac:dyDescent="0.25">
      <c r="B518" s="17"/>
      <c r="F518" s="63"/>
      <c r="G518" s="63"/>
      <c r="H518" s="63"/>
      <c r="I518" s="63"/>
      <c r="J518" s="63"/>
      <c r="K518" s="63"/>
    </row>
    <row r="519" spans="2:11" x14ac:dyDescent="0.25">
      <c r="F519" s="128"/>
      <c r="G519" s="128"/>
      <c r="H519" s="128"/>
      <c r="I519" s="128"/>
      <c r="J519" s="93"/>
      <c r="K519" s="93"/>
    </row>
    <row r="520" spans="2:11" x14ac:dyDescent="0.25">
      <c r="B520" s="17"/>
      <c r="F520" s="97"/>
      <c r="G520" s="97"/>
      <c r="H520" s="97"/>
      <c r="I520" s="97"/>
      <c r="J520" s="93"/>
      <c r="K520" s="93"/>
    </row>
    <row r="524" spans="2:11" x14ac:dyDescent="0.25">
      <c r="B524" s="17"/>
    </row>
    <row r="530" spans="2:11" x14ac:dyDescent="0.25">
      <c r="B530" s="17"/>
      <c r="F530" s="63"/>
      <c r="G530" s="63"/>
      <c r="H530" s="63"/>
      <c r="I530" s="63"/>
      <c r="J530" s="63"/>
      <c r="K530" s="63"/>
    </row>
    <row r="531" spans="2:11" x14ac:dyDescent="0.25">
      <c r="F531" s="16"/>
      <c r="G531" s="16"/>
      <c r="H531" s="128"/>
      <c r="I531" s="82"/>
      <c r="J531" s="93"/>
      <c r="K531" s="93"/>
    </row>
    <row r="532" spans="2:11" x14ac:dyDescent="0.25">
      <c r="F532" s="16"/>
      <c r="G532" s="16"/>
      <c r="H532" s="128"/>
      <c r="I532" s="82"/>
      <c r="J532" s="93"/>
      <c r="K532" s="93"/>
    </row>
    <row r="533" spans="2:11" x14ac:dyDescent="0.25">
      <c r="F533" s="16"/>
      <c r="G533" s="16"/>
      <c r="H533" s="128"/>
      <c r="I533" s="82"/>
      <c r="J533" s="93"/>
      <c r="K533" s="93"/>
    </row>
    <row r="534" spans="2:11" x14ac:dyDescent="0.25">
      <c r="F534" s="16"/>
      <c r="G534" s="16"/>
      <c r="H534" s="128"/>
      <c r="I534" s="82"/>
      <c r="J534" s="93"/>
      <c r="K534" s="93"/>
    </row>
    <row r="535" spans="2:11" x14ac:dyDescent="0.25">
      <c r="F535" s="16"/>
      <c r="G535" s="16"/>
      <c r="H535" s="128"/>
      <c r="I535" s="82"/>
      <c r="J535" s="93"/>
      <c r="K535" s="93"/>
    </row>
    <row r="536" spans="2:11" x14ac:dyDescent="0.25">
      <c r="F536" s="16"/>
      <c r="G536" s="16"/>
      <c r="H536" s="128"/>
      <c r="I536" s="82"/>
      <c r="J536" s="93"/>
      <c r="K536" s="93"/>
    </row>
    <row r="537" spans="2:11" x14ac:dyDescent="0.25">
      <c r="B537" s="17"/>
      <c r="F537" s="135"/>
      <c r="G537" s="135"/>
      <c r="H537" s="97"/>
      <c r="I537" s="97"/>
      <c r="J537" s="94"/>
      <c r="K537" s="94"/>
    </row>
    <row r="540" spans="2:11" x14ac:dyDescent="0.25">
      <c r="B540" s="17"/>
      <c r="H540" s="63"/>
      <c r="I540" s="63"/>
      <c r="J540" s="63"/>
      <c r="K540" s="63"/>
    </row>
    <row r="546" spans="2:11" x14ac:dyDescent="0.25">
      <c r="B546" s="17"/>
      <c r="F546" s="63"/>
      <c r="G546" s="63"/>
      <c r="H546" s="63"/>
      <c r="I546" s="63"/>
      <c r="J546" s="63"/>
      <c r="K546" s="63"/>
    </row>
    <row r="547" spans="2:11" x14ac:dyDescent="0.25">
      <c r="F547" s="82"/>
      <c r="G547" s="82"/>
      <c r="H547" s="128"/>
      <c r="I547" s="128"/>
      <c r="J547" s="93"/>
      <c r="K547" s="82"/>
    </row>
    <row r="548" spans="2:11" x14ac:dyDescent="0.25">
      <c r="F548" s="82"/>
      <c r="G548" s="82"/>
      <c r="H548" s="128"/>
      <c r="I548" s="128"/>
      <c r="J548" s="93"/>
      <c r="K548" s="82"/>
    </row>
    <row r="549" spans="2:11" x14ac:dyDescent="0.25">
      <c r="B549" s="17"/>
      <c r="F549" s="97"/>
      <c r="G549" s="97"/>
      <c r="H549" s="97"/>
      <c r="I549" s="97"/>
      <c r="J549" s="94"/>
      <c r="K549" s="94"/>
    </row>
    <row r="552" spans="2:11" x14ac:dyDescent="0.25">
      <c r="B552" s="17"/>
      <c r="H552" s="63"/>
      <c r="I552" s="63"/>
      <c r="J552" s="63"/>
      <c r="K552" s="63"/>
    </row>
    <row r="558" spans="2:11" x14ac:dyDescent="0.25">
      <c r="B558" s="17"/>
      <c r="F558" s="63"/>
      <c r="G558" s="63"/>
      <c r="H558" s="63"/>
      <c r="I558" s="63"/>
      <c r="J558" s="63"/>
      <c r="K558" s="63"/>
    </row>
    <row r="559" spans="2:11" x14ac:dyDescent="0.25">
      <c r="F559" s="82"/>
      <c r="G559" s="82"/>
      <c r="H559" s="216"/>
      <c r="I559" s="101"/>
      <c r="J559" s="90"/>
      <c r="K559" s="101"/>
    </row>
    <row r="560" spans="2:11" x14ac:dyDescent="0.25">
      <c r="F560" s="82"/>
      <c r="G560" s="82"/>
      <c r="H560" s="131"/>
      <c r="I560" s="82"/>
      <c r="J560" s="93"/>
      <c r="K560" s="82"/>
    </row>
    <row r="561" spans="2:11" x14ac:dyDescent="0.25">
      <c r="F561" s="82"/>
      <c r="G561" s="82"/>
      <c r="H561" s="210"/>
      <c r="I561" s="101"/>
      <c r="J561" s="93"/>
      <c r="K561" s="82"/>
    </row>
    <row r="562" spans="2:11" x14ac:dyDescent="0.25">
      <c r="B562" s="17"/>
      <c r="F562" s="97"/>
      <c r="G562" s="97"/>
      <c r="H562" s="97"/>
      <c r="I562" s="97"/>
      <c r="J562" s="94"/>
      <c r="K562" s="94"/>
    </row>
    <row r="565" spans="2:11" x14ac:dyDescent="0.25">
      <c r="B565" s="17"/>
    </row>
    <row r="570" spans="2:11" x14ac:dyDescent="0.25">
      <c r="B570" s="17"/>
      <c r="F570" s="63"/>
      <c r="G570" s="63"/>
      <c r="H570" s="63"/>
      <c r="I570" s="63"/>
      <c r="J570" s="63"/>
      <c r="K570" s="63"/>
    </row>
    <row r="571" spans="2:11" x14ac:dyDescent="0.25">
      <c r="B571" s="1"/>
      <c r="F571" s="82"/>
      <c r="G571" s="82"/>
      <c r="H571" s="210"/>
      <c r="I571" s="128"/>
      <c r="J571" s="82"/>
      <c r="K571" s="82"/>
    </row>
    <row r="572" spans="2:11" x14ac:dyDescent="0.25">
      <c r="B572" s="1"/>
      <c r="F572" s="82"/>
      <c r="G572" s="82"/>
      <c r="H572" s="128"/>
      <c r="I572" s="128"/>
      <c r="J572" s="93"/>
      <c r="K572" s="82"/>
    </row>
    <row r="573" spans="2:11" x14ac:dyDescent="0.25">
      <c r="B573" s="1"/>
      <c r="F573" s="82"/>
      <c r="G573" s="82"/>
      <c r="H573" s="128"/>
      <c r="I573" s="128"/>
      <c r="J573" s="93"/>
      <c r="K573" s="82"/>
    </row>
    <row r="574" spans="2:11" x14ac:dyDescent="0.25">
      <c r="B574" s="1"/>
      <c r="F574" s="82"/>
      <c r="G574" s="82"/>
      <c r="H574" s="128"/>
      <c r="I574" s="128"/>
      <c r="J574" s="93"/>
      <c r="K574" s="94"/>
    </row>
    <row r="575" spans="2:11" x14ac:dyDescent="0.25">
      <c r="B575" s="6"/>
      <c r="F575" s="16"/>
      <c r="G575" s="16"/>
      <c r="H575" s="16"/>
      <c r="I575" s="82"/>
      <c r="J575" s="93"/>
      <c r="K575" s="93"/>
    </row>
    <row r="577" spans="2:11" x14ac:dyDescent="0.25">
      <c r="B577" s="17"/>
    </row>
    <row r="583" spans="2:11" x14ac:dyDescent="0.25">
      <c r="B583" s="17"/>
      <c r="F583" s="63"/>
      <c r="G583" s="63"/>
      <c r="H583" s="63"/>
      <c r="I583" s="63"/>
      <c r="J583" s="63"/>
      <c r="K583" s="63"/>
    </row>
    <row r="584" spans="2:11" x14ac:dyDescent="0.25">
      <c r="B584" s="1"/>
      <c r="F584" s="16"/>
      <c r="G584" s="16"/>
      <c r="H584" s="128"/>
      <c r="I584" s="128"/>
      <c r="J584" s="93"/>
      <c r="K584" s="93"/>
    </row>
    <row r="585" spans="2:11" x14ac:dyDescent="0.25">
      <c r="B585" s="1"/>
      <c r="F585" s="16"/>
      <c r="G585" s="16"/>
      <c r="H585" s="128"/>
      <c r="I585" s="128"/>
      <c r="J585" s="93"/>
      <c r="K585" s="93"/>
    </row>
    <row r="586" spans="2:11" x14ac:dyDescent="0.25">
      <c r="B586" s="1"/>
      <c r="F586" s="16"/>
      <c r="G586" s="16"/>
      <c r="H586" s="128"/>
      <c r="I586" s="128"/>
      <c r="J586" s="93"/>
      <c r="K586" s="93"/>
    </row>
    <row r="587" spans="2:11" x14ac:dyDescent="0.25">
      <c r="B587" s="6"/>
      <c r="F587" s="135"/>
      <c r="G587" s="135"/>
      <c r="H587" s="135"/>
      <c r="I587" s="135"/>
      <c r="J587" s="94"/>
      <c r="K587" s="94"/>
    </row>
    <row r="591" spans="2:11" x14ac:dyDescent="0.25">
      <c r="B591" s="17"/>
    </row>
    <row r="597" spans="2:11" x14ac:dyDescent="0.25">
      <c r="B597" s="17"/>
      <c r="F597" s="63"/>
      <c r="G597" s="63"/>
      <c r="H597" s="63"/>
      <c r="I597" s="63"/>
      <c r="J597" s="63"/>
      <c r="K597" s="63"/>
    </row>
    <row r="598" spans="2:11" x14ac:dyDescent="0.25">
      <c r="B598" s="1"/>
      <c r="F598" s="82"/>
      <c r="G598" s="82"/>
      <c r="H598" s="82"/>
      <c r="I598" s="128"/>
      <c r="J598" s="82"/>
      <c r="K598" s="93"/>
    </row>
    <row r="599" spans="2:11" x14ac:dyDescent="0.25">
      <c r="B599" s="1"/>
      <c r="F599" s="82"/>
      <c r="G599" s="82"/>
      <c r="H599" s="82"/>
      <c r="I599" s="128"/>
      <c r="J599" s="82"/>
      <c r="K599" s="93"/>
    </row>
    <row r="600" spans="2:11" x14ac:dyDescent="0.25">
      <c r="B600" s="17"/>
      <c r="F600" s="97"/>
      <c r="G600" s="97"/>
      <c r="H600" s="97"/>
      <c r="I600" s="97"/>
      <c r="J600" s="94"/>
      <c r="K600" s="94"/>
    </row>
    <row r="601" spans="2:11" x14ac:dyDescent="0.25">
      <c r="H601" s="82"/>
      <c r="I601" s="82"/>
      <c r="J601" s="82"/>
      <c r="K601" s="18"/>
    </row>
    <row r="604" spans="2:11" x14ac:dyDescent="0.25">
      <c r="B604" s="17"/>
    </row>
    <row r="610" spans="2:11" x14ac:dyDescent="0.25">
      <c r="B610" s="17"/>
      <c r="F610" s="63"/>
      <c r="G610" s="63"/>
      <c r="H610" s="63"/>
      <c r="I610" s="63"/>
      <c r="J610" s="63"/>
      <c r="K610" s="63"/>
    </row>
    <row r="611" spans="2:11" x14ac:dyDescent="0.25">
      <c r="B611" s="1"/>
      <c r="F611" s="132"/>
      <c r="G611" s="132"/>
      <c r="H611" s="130"/>
      <c r="I611" s="130"/>
      <c r="J611" s="211"/>
      <c r="K611" s="93"/>
    </row>
    <row r="612" spans="2:11" x14ac:dyDescent="0.25">
      <c r="B612" s="1"/>
      <c r="F612" s="132"/>
      <c r="G612" s="132"/>
      <c r="H612" s="130"/>
      <c r="I612" s="130"/>
      <c r="J612" s="211"/>
      <c r="K612" s="93"/>
    </row>
    <row r="613" spans="2:11" x14ac:dyDescent="0.25">
      <c r="B613" s="1"/>
      <c r="F613" s="132"/>
      <c r="G613" s="132"/>
      <c r="H613" s="130"/>
      <c r="I613" s="130"/>
      <c r="J613" s="211"/>
      <c r="K613" s="93"/>
    </row>
    <row r="614" spans="2:11" x14ac:dyDescent="0.25">
      <c r="B614" s="1"/>
      <c r="F614" s="132"/>
      <c r="G614" s="132"/>
      <c r="H614" s="130"/>
      <c r="I614" s="130"/>
      <c r="J614" s="211"/>
      <c r="K614" s="93"/>
    </row>
    <row r="615" spans="2:11" x14ac:dyDescent="0.25">
      <c r="B615" s="1"/>
      <c r="F615" s="132"/>
      <c r="G615" s="132"/>
      <c r="H615" s="130"/>
      <c r="I615" s="130"/>
      <c r="J615" s="211"/>
      <c r="K615" s="93"/>
    </row>
    <row r="616" spans="2:11" x14ac:dyDescent="0.25">
      <c r="B616" s="1"/>
      <c r="F616" s="132"/>
      <c r="G616" s="132"/>
      <c r="H616" s="130"/>
      <c r="I616" s="130"/>
      <c r="J616" s="211"/>
      <c r="K616" s="93"/>
    </row>
    <row r="617" spans="2:11" x14ac:dyDescent="0.25">
      <c r="B617" s="1"/>
      <c r="F617" s="132"/>
      <c r="G617" s="132"/>
      <c r="H617" s="130"/>
      <c r="I617" s="130"/>
      <c r="J617" s="211"/>
      <c r="K617" s="93"/>
    </row>
    <row r="618" spans="2:11" x14ac:dyDescent="0.25">
      <c r="B618" s="1"/>
      <c r="F618" s="132"/>
      <c r="G618" s="132"/>
      <c r="H618" s="130"/>
      <c r="I618" s="130"/>
      <c r="J618" s="211"/>
      <c r="K618" s="93"/>
    </row>
    <row r="619" spans="2:11" x14ac:dyDescent="0.25">
      <c r="B619" s="1"/>
      <c r="F619" s="132"/>
      <c r="G619" s="132"/>
      <c r="H619" s="130"/>
      <c r="I619" s="130"/>
      <c r="J619" s="211"/>
      <c r="K619" s="93"/>
    </row>
    <row r="620" spans="2:11" x14ac:dyDescent="0.25">
      <c r="B620" s="1"/>
      <c r="F620" s="132"/>
      <c r="G620" s="132"/>
      <c r="H620" s="130"/>
      <c r="I620" s="130"/>
      <c r="J620" s="211"/>
      <c r="K620" s="93"/>
    </row>
    <row r="621" spans="2:11" x14ac:dyDescent="0.25">
      <c r="B621" s="6"/>
      <c r="F621" s="112"/>
      <c r="G621" s="112"/>
      <c r="H621" s="112"/>
      <c r="I621" s="112"/>
      <c r="J621" s="212"/>
      <c r="K621" s="94"/>
    </row>
    <row r="625" spans="2:11" x14ac:dyDescent="0.25">
      <c r="B625" s="17"/>
    </row>
    <row r="626" spans="2:11" x14ac:dyDescent="0.25">
      <c r="B626" s="17"/>
    </row>
    <row r="627" spans="2:11" x14ac:dyDescent="0.25">
      <c r="B627" s="17"/>
    </row>
    <row r="628" spans="2:11" x14ac:dyDescent="0.25">
      <c r="B628" s="17"/>
    </row>
    <row r="629" spans="2:11" x14ac:dyDescent="0.25">
      <c r="B629" s="17"/>
    </row>
    <row r="630" spans="2:11" x14ac:dyDescent="0.25">
      <c r="B630" s="17"/>
    </row>
    <row r="631" spans="2:11" x14ac:dyDescent="0.25">
      <c r="B631" s="17"/>
      <c r="F631" s="63"/>
      <c r="G631" s="63"/>
      <c r="H631" s="63"/>
      <c r="I631" s="63"/>
      <c r="J631" s="63"/>
      <c r="K631" s="63"/>
    </row>
    <row r="632" spans="2:11" x14ac:dyDescent="0.25">
      <c r="B632" s="1"/>
      <c r="F632" s="130"/>
      <c r="G632" s="130"/>
      <c r="H632" s="130"/>
      <c r="I632" s="130"/>
      <c r="J632" s="211"/>
      <c r="K632" s="93"/>
    </row>
    <row r="633" spans="2:11" x14ac:dyDescent="0.25">
      <c r="B633" s="1"/>
      <c r="F633" s="130"/>
      <c r="G633" s="130"/>
      <c r="H633" s="130"/>
      <c r="I633" s="130"/>
      <c r="J633" s="211"/>
      <c r="K633" s="93"/>
    </row>
    <row r="634" spans="2:11" x14ac:dyDescent="0.25">
      <c r="B634" s="1"/>
      <c r="F634" s="130"/>
      <c r="G634" s="130"/>
      <c r="H634" s="130"/>
      <c r="I634" s="130"/>
      <c r="J634" s="211"/>
      <c r="K634" s="93"/>
    </row>
    <row r="635" spans="2:11" x14ac:dyDescent="0.25">
      <c r="B635" s="1"/>
      <c r="F635" s="130"/>
      <c r="G635" s="130"/>
      <c r="H635" s="130"/>
      <c r="I635" s="130"/>
      <c r="J635" s="211"/>
      <c r="K635" s="93"/>
    </row>
    <row r="636" spans="2:11" x14ac:dyDescent="0.25">
      <c r="B636" s="1"/>
      <c r="F636" s="130"/>
      <c r="G636" s="130"/>
      <c r="H636" s="130"/>
      <c r="I636" s="130"/>
      <c r="J636" s="211"/>
      <c r="K636" s="93"/>
    </row>
    <row r="637" spans="2:11" x14ac:dyDescent="0.25">
      <c r="B637" s="6"/>
      <c r="F637" s="135"/>
      <c r="G637" s="135"/>
      <c r="H637" s="135"/>
      <c r="I637" s="135"/>
      <c r="J637" s="212"/>
      <c r="K637" s="94"/>
    </row>
    <row r="641" spans="2:11" x14ac:dyDescent="0.25">
      <c r="B641" s="17"/>
    </row>
    <row r="647" spans="2:11" x14ac:dyDescent="0.25">
      <c r="B647" s="17"/>
      <c r="F647" s="63"/>
      <c r="G647" s="63"/>
      <c r="H647" s="63"/>
      <c r="I647" s="63"/>
      <c r="J647" s="63"/>
      <c r="K647" s="63"/>
    </row>
    <row r="648" spans="2:11" x14ac:dyDescent="0.25">
      <c r="B648" s="1"/>
      <c r="F648" s="132"/>
      <c r="G648" s="132"/>
      <c r="H648" s="130"/>
      <c r="I648" s="130"/>
      <c r="J648" s="211"/>
      <c r="K648" s="93"/>
    </row>
    <row r="649" spans="2:11" x14ac:dyDescent="0.25">
      <c r="B649" s="1"/>
      <c r="F649" s="132"/>
      <c r="G649" s="132"/>
      <c r="H649" s="130"/>
      <c r="I649" s="130"/>
      <c r="J649" s="211"/>
      <c r="K649" s="93"/>
    </row>
    <row r="650" spans="2:11" x14ac:dyDescent="0.25">
      <c r="B650" s="1"/>
      <c r="F650" s="132"/>
      <c r="G650" s="132"/>
      <c r="H650" s="130"/>
      <c r="I650" s="130"/>
      <c r="J650" s="211"/>
      <c r="K650" s="93"/>
    </row>
    <row r="651" spans="2:11" x14ac:dyDescent="0.25">
      <c r="B651" s="1"/>
      <c r="F651" s="132"/>
      <c r="G651" s="132"/>
      <c r="H651" s="130"/>
      <c r="I651" s="130"/>
      <c r="J651" s="211"/>
      <c r="K651" s="93"/>
    </row>
    <row r="652" spans="2:11" x14ac:dyDescent="0.25">
      <c r="B652" s="1"/>
      <c r="F652" s="132"/>
      <c r="G652" s="132"/>
      <c r="H652" s="130"/>
      <c r="I652" s="130"/>
      <c r="J652" s="211"/>
      <c r="K652" s="93"/>
    </row>
    <row r="653" spans="2:11" x14ac:dyDescent="0.25">
      <c r="B653" s="1"/>
      <c r="F653" s="132"/>
      <c r="G653" s="132"/>
      <c r="H653" s="130"/>
      <c r="I653" s="130"/>
      <c r="J653" s="211"/>
      <c r="K653" s="93"/>
    </row>
    <row r="654" spans="2:11" x14ac:dyDescent="0.25">
      <c r="B654" s="1"/>
      <c r="F654" s="132"/>
      <c r="G654" s="132"/>
      <c r="H654" s="130"/>
      <c r="I654" s="130"/>
      <c r="J654" s="211"/>
      <c r="K654" s="93"/>
    </row>
    <row r="655" spans="2:11" x14ac:dyDescent="0.25">
      <c r="B655" s="1"/>
      <c r="F655" s="132"/>
      <c r="G655" s="132"/>
      <c r="H655" s="130"/>
      <c r="I655" s="130"/>
      <c r="J655" s="211"/>
      <c r="K655" s="93"/>
    </row>
    <row r="656" spans="2:11" x14ac:dyDescent="0.25">
      <c r="B656" s="1"/>
      <c r="F656" s="132"/>
      <c r="G656" s="132"/>
      <c r="H656" s="217"/>
      <c r="I656" s="130"/>
      <c r="J656" s="211"/>
      <c r="K656" s="94"/>
    </row>
    <row r="657" spans="2:10" x14ac:dyDescent="0.25">
      <c r="B657" s="6"/>
      <c r="F657" s="135"/>
      <c r="G657" s="135"/>
      <c r="H657" s="135"/>
      <c r="I657" s="87"/>
      <c r="J657" s="212"/>
    </row>
  </sheetData>
  <pageMargins left="0.7" right="0.45" top="0.75" bottom="0.75" header="0.3" footer="0.3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N394"/>
  <sheetViews>
    <sheetView topLeftCell="A130" zoomScale="85" zoomScaleNormal="85" workbookViewId="0">
      <selection activeCell="C11" sqref="C11"/>
    </sheetView>
  </sheetViews>
  <sheetFormatPr baseColWidth="10" defaultColWidth="11.42578125" defaultRowHeight="15" x14ac:dyDescent="0.25"/>
  <cols>
    <col min="1" max="1" width="6.7109375" customWidth="1"/>
    <col min="2" max="2" width="58" customWidth="1"/>
    <col min="3" max="3" width="18.28515625" customWidth="1"/>
    <col min="4" max="4" width="19.42578125" customWidth="1"/>
    <col min="5" max="5" width="18.42578125" customWidth="1"/>
    <col min="6" max="6" width="16.140625" customWidth="1"/>
    <col min="7" max="7" width="18.42578125" customWidth="1"/>
    <col min="8" max="8" width="20.42578125" customWidth="1"/>
    <col min="9" max="9" width="25.28515625" customWidth="1"/>
    <col min="10" max="11" width="17.140625" customWidth="1"/>
    <col min="12" max="12" width="21.5703125" customWidth="1"/>
    <col min="14" max="14" width="14.140625" bestFit="1" customWidth="1"/>
  </cols>
  <sheetData>
    <row r="4" spans="2:8" x14ac:dyDescent="0.25">
      <c r="B4" s="17" t="s">
        <v>289</v>
      </c>
    </row>
    <row r="6" spans="2:8" x14ac:dyDescent="0.25">
      <c r="B6" s="17" t="s">
        <v>290</v>
      </c>
    </row>
    <row r="8" spans="2:8" x14ac:dyDescent="0.25">
      <c r="B8" s="17" t="s">
        <v>2433</v>
      </c>
      <c r="C8" s="17"/>
      <c r="D8" s="17"/>
    </row>
    <row r="10" spans="2:8" x14ac:dyDescent="0.25">
      <c r="B10" s="17" t="s">
        <v>291</v>
      </c>
      <c r="C10" s="138">
        <v>2024</v>
      </c>
      <c r="D10" s="138">
        <v>2023</v>
      </c>
      <c r="E10" s="138" t="s">
        <v>2544</v>
      </c>
      <c r="F10" s="63"/>
      <c r="H10" s="88"/>
    </row>
    <row r="11" spans="2:8" x14ac:dyDescent="0.25">
      <c r="B11" t="s">
        <v>292</v>
      </c>
      <c r="C11" s="3">
        <f>'NOTAS (2)'!C4</f>
        <v>124864399.37</v>
      </c>
      <c r="D11" s="3">
        <f>33312532.38+51671711.11</f>
        <v>84984243.489999995</v>
      </c>
      <c r="E11" s="345">
        <f>C11-D11</f>
        <v>39880155.88000001</v>
      </c>
      <c r="F11" s="134"/>
      <c r="G11" s="18"/>
      <c r="H11" s="89"/>
    </row>
    <row r="12" spans="2:8" x14ac:dyDescent="0.25">
      <c r="B12" t="s">
        <v>293</v>
      </c>
      <c r="C12" s="3">
        <f>'NOTAS (2)'!C5</f>
        <v>7955921.9900000002</v>
      </c>
      <c r="D12" s="3">
        <v>543128.96</v>
      </c>
      <c r="E12" s="345">
        <f t="shared" ref="E12:E15" si="0">C12-D12</f>
        <v>7412793.0300000003</v>
      </c>
      <c r="F12" s="134"/>
      <c r="G12" s="18"/>
      <c r="H12" s="89"/>
    </row>
    <row r="13" spans="2:8" x14ac:dyDescent="0.25">
      <c r="B13" t="s">
        <v>294</v>
      </c>
      <c r="C13" s="3">
        <f>'NOTAS (2)'!C6</f>
        <v>1014095.4</v>
      </c>
      <c r="D13" s="3">
        <v>45395.9</v>
      </c>
      <c r="E13" s="345">
        <f t="shared" si="0"/>
        <v>968699.5</v>
      </c>
      <c r="F13" s="134"/>
      <c r="G13" s="18"/>
      <c r="H13" s="89"/>
    </row>
    <row r="14" spans="2:8" x14ac:dyDescent="0.25">
      <c r="B14" t="s">
        <v>295</v>
      </c>
      <c r="C14" s="3">
        <f>'NOTAS (2)'!C7</f>
        <v>0</v>
      </c>
      <c r="D14" s="3">
        <v>0</v>
      </c>
      <c r="E14" s="345">
        <f t="shared" si="0"/>
        <v>0</v>
      </c>
      <c r="F14" s="134"/>
      <c r="G14" s="18"/>
      <c r="H14" s="90"/>
    </row>
    <row r="15" spans="2:8" x14ac:dyDescent="0.25">
      <c r="B15" t="s">
        <v>296</v>
      </c>
      <c r="C15" s="3">
        <f>'NOTAS (2)'!C8</f>
        <v>15000</v>
      </c>
      <c r="D15" s="3">
        <v>15000</v>
      </c>
      <c r="E15" s="345">
        <f t="shared" si="0"/>
        <v>0</v>
      </c>
      <c r="F15" s="134"/>
      <c r="G15" s="18"/>
      <c r="H15" s="91"/>
    </row>
    <row r="16" spans="2:8" x14ac:dyDescent="0.25">
      <c r="B16" s="17" t="s">
        <v>297</v>
      </c>
      <c r="C16" s="92">
        <f>SUM(C11:C15)</f>
        <v>133849416.76000001</v>
      </c>
      <c r="D16" s="92">
        <f>SUM(D11:D15)</f>
        <v>85587768.349999994</v>
      </c>
      <c r="E16" s="92">
        <f>SUM(E11:E15)</f>
        <v>48261648.410000011</v>
      </c>
      <c r="F16" s="90"/>
      <c r="G16" s="84"/>
      <c r="H16" s="90"/>
    </row>
    <row r="19" spans="2:8" x14ac:dyDescent="0.25">
      <c r="B19" s="17" t="s">
        <v>2543</v>
      </c>
      <c r="C19" s="17"/>
      <c r="D19" s="17"/>
      <c r="E19" s="17"/>
    </row>
    <row r="20" spans="2:8" x14ac:dyDescent="0.25">
      <c r="B20" s="17" t="s">
        <v>2545</v>
      </c>
      <c r="C20" s="17"/>
      <c r="D20" s="17"/>
      <c r="E20" s="17"/>
    </row>
    <row r="21" spans="2:8" x14ac:dyDescent="0.25">
      <c r="B21" s="17"/>
      <c r="C21" s="17"/>
      <c r="D21" s="17"/>
      <c r="E21" s="17"/>
    </row>
    <row r="22" spans="2:8" x14ac:dyDescent="0.25">
      <c r="B22" s="17"/>
      <c r="C22" s="17"/>
      <c r="D22" s="17"/>
      <c r="E22" s="17"/>
    </row>
    <row r="24" spans="2:8" x14ac:dyDescent="0.25">
      <c r="B24" s="17" t="s">
        <v>298</v>
      </c>
    </row>
    <row r="26" spans="2:8" x14ac:dyDescent="0.25">
      <c r="B26" s="17" t="s">
        <v>2546</v>
      </c>
    </row>
    <row r="28" spans="2:8" x14ac:dyDescent="0.25">
      <c r="B28" s="17" t="s">
        <v>291</v>
      </c>
      <c r="C28" s="138">
        <v>2024</v>
      </c>
      <c r="D28" s="138">
        <v>2023</v>
      </c>
      <c r="E28" s="138" t="s">
        <v>2544</v>
      </c>
      <c r="F28" s="63"/>
      <c r="G28" s="18"/>
      <c r="H28" s="63"/>
    </row>
    <row r="29" spans="2:8" x14ac:dyDescent="0.25">
      <c r="B29" t="s">
        <v>299</v>
      </c>
      <c r="C29" s="165">
        <f>'NOTAS (2)'!C16</f>
        <v>162815430.26000002</v>
      </c>
      <c r="D29" s="54">
        <f>'NOTAS (2)'!E16</f>
        <v>188827935.69</v>
      </c>
      <c r="E29" s="346">
        <f>C29-D29</f>
        <v>-26012505.429999977</v>
      </c>
      <c r="F29" s="93"/>
      <c r="H29" s="93"/>
    </row>
    <row r="30" spans="2:8" x14ac:dyDescent="0.25">
      <c r="B30" t="s">
        <v>300</v>
      </c>
      <c r="C30" s="165">
        <f>'NOTAS (2)'!C17</f>
        <v>675366.02000000025</v>
      </c>
      <c r="D30" s="54">
        <f>'NOTAS (2)'!E17</f>
        <v>1462204.29</v>
      </c>
      <c r="E30" s="128">
        <f t="shared" ref="E30:E31" si="1">C30-D30</f>
        <v>-786838.26999999979</v>
      </c>
      <c r="F30" s="93"/>
      <c r="H30" s="93"/>
    </row>
    <row r="31" spans="2:8" x14ac:dyDescent="0.25">
      <c r="B31" t="s">
        <v>301</v>
      </c>
      <c r="C31" s="165">
        <f>'NOTAS (2)'!C18</f>
        <v>9208708.7000000011</v>
      </c>
      <c r="D31" s="236">
        <f>'NOTAS (2)'!E18</f>
        <v>3039252.69</v>
      </c>
      <c r="E31" s="127">
        <f t="shared" si="1"/>
        <v>6169456.0100000016</v>
      </c>
      <c r="F31" s="93"/>
      <c r="H31" s="93"/>
    </row>
    <row r="32" spans="2:8" x14ac:dyDescent="0.25">
      <c r="B32" s="17" t="s">
        <v>302</v>
      </c>
      <c r="C32" s="92">
        <f>SUM(C29:C31)</f>
        <v>172699504.98000002</v>
      </c>
      <c r="D32" s="235">
        <f>SUM(D29:D31)</f>
        <v>193329392.66999999</v>
      </c>
      <c r="E32" s="235">
        <f>SUM(E29:E31)</f>
        <v>-20629887.689999975</v>
      </c>
      <c r="F32" s="94"/>
      <c r="H32" s="94"/>
    </row>
    <row r="33" spans="2:8" x14ac:dyDescent="0.25">
      <c r="G33" s="18"/>
      <c r="H33" s="18"/>
    </row>
    <row r="34" spans="2:8" x14ac:dyDescent="0.25">
      <c r="G34" s="18"/>
      <c r="H34" s="18"/>
    </row>
    <row r="35" spans="2:8" x14ac:dyDescent="0.25">
      <c r="B35" s="17" t="s">
        <v>7</v>
      </c>
      <c r="C35" s="17"/>
      <c r="D35" s="17"/>
      <c r="E35" s="17"/>
      <c r="G35" s="18"/>
    </row>
    <row r="36" spans="2:8" x14ac:dyDescent="0.25">
      <c r="B36" s="17" t="s">
        <v>2548</v>
      </c>
      <c r="C36" s="17"/>
      <c r="D36" s="17"/>
      <c r="E36" s="17"/>
    </row>
    <row r="37" spans="2:8" x14ac:dyDescent="0.25">
      <c r="B37" s="17" t="s">
        <v>2549</v>
      </c>
      <c r="C37" s="17"/>
      <c r="D37" s="17"/>
      <c r="E37" s="17"/>
    </row>
    <row r="38" spans="2:8" x14ac:dyDescent="0.25">
      <c r="B38" s="17"/>
      <c r="C38" s="17"/>
      <c r="D38" s="17"/>
      <c r="E38" s="17"/>
    </row>
    <row r="39" spans="2:8" x14ac:dyDescent="0.25">
      <c r="B39" s="17" t="s">
        <v>7</v>
      </c>
      <c r="C39" s="17"/>
      <c r="D39" s="17"/>
      <c r="E39" s="17"/>
    </row>
    <row r="40" spans="2:8" x14ac:dyDescent="0.25">
      <c r="B40" s="17" t="s">
        <v>303</v>
      </c>
    </row>
    <row r="42" spans="2:8" x14ac:dyDescent="0.25">
      <c r="B42" s="17" t="s">
        <v>304</v>
      </c>
      <c r="G42" s="18"/>
    </row>
    <row r="43" spans="2:8" x14ac:dyDescent="0.25">
      <c r="C43" s="138">
        <v>2024</v>
      </c>
      <c r="D43" s="138">
        <v>2023</v>
      </c>
      <c r="E43" s="138" t="s">
        <v>2544</v>
      </c>
      <c r="F43" s="63"/>
      <c r="H43" s="63"/>
    </row>
    <row r="44" spans="2:8" x14ac:dyDescent="0.25">
      <c r="B44" s="1" t="s">
        <v>305</v>
      </c>
      <c r="C44" s="3">
        <f>'NOTAS (2)'!C26</f>
        <v>67274064.129999995</v>
      </c>
      <c r="D44" s="3">
        <v>103896364.25</v>
      </c>
      <c r="E44" s="350">
        <f>C44-D44</f>
        <v>-36622300.120000005</v>
      </c>
      <c r="F44" s="93"/>
      <c r="H44" s="82"/>
    </row>
    <row r="45" spans="2:8" x14ac:dyDescent="0.25">
      <c r="B45" s="1" t="s">
        <v>306</v>
      </c>
      <c r="C45" s="3">
        <f>'NOTAS (2)'!C27</f>
        <v>42916342.789999999</v>
      </c>
      <c r="D45" s="3">
        <v>35529879.649999999</v>
      </c>
      <c r="E45" s="349">
        <f t="shared" ref="E45:E66" si="2">C45-D45</f>
        <v>7386463.1400000006</v>
      </c>
      <c r="F45" s="93"/>
      <c r="H45" s="93"/>
    </row>
    <row r="46" spans="2:8" x14ac:dyDescent="0.25">
      <c r="B46" s="1" t="s">
        <v>307</v>
      </c>
      <c r="C46" s="3">
        <f>'NOTAS (2)'!C28</f>
        <v>0</v>
      </c>
      <c r="D46" s="3">
        <v>0</v>
      </c>
      <c r="E46" s="349">
        <f t="shared" si="2"/>
        <v>0</v>
      </c>
      <c r="F46" s="93"/>
      <c r="H46" s="93"/>
    </row>
    <row r="47" spans="2:8" x14ac:dyDescent="0.25">
      <c r="B47" s="1" t="s">
        <v>308</v>
      </c>
      <c r="C47" s="3">
        <f>'NOTAS (2)'!C29</f>
        <v>20777647.949999999</v>
      </c>
      <c r="D47" s="3">
        <v>13706003.52</v>
      </c>
      <c r="E47" s="349">
        <f t="shared" si="2"/>
        <v>7071644.4299999997</v>
      </c>
      <c r="F47" s="93"/>
      <c r="G47" s="68"/>
      <c r="H47" s="93"/>
    </row>
    <row r="48" spans="2:8" x14ac:dyDescent="0.25">
      <c r="B48" s="1" t="s">
        <v>309</v>
      </c>
      <c r="C48" s="3">
        <f>'NOTAS (2)'!C30</f>
        <v>6861120.2000000002</v>
      </c>
      <c r="D48" s="3">
        <v>10027246.800000001</v>
      </c>
      <c r="E48" s="349">
        <f t="shared" si="2"/>
        <v>-3166126.6000000006</v>
      </c>
      <c r="F48" s="93"/>
      <c r="H48" s="93"/>
    </row>
    <row r="49" spans="2:8" x14ac:dyDescent="0.25">
      <c r="B49" s="7" t="s">
        <v>310</v>
      </c>
      <c r="C49" s="3">
        <f>'NOTAS (2)'!C31</f>
        <v>8373471.7199999997</v>
      </c>
      <c r="D49" s="3">
        <v>5856787.9400000004</v>
      </c>
      <c r="E49" s="349">
        <f t="shared" si="2"/>
        <v>2516683.7799999993</v>
      </c>
      <c r="F49" s="93"/>
      <c r="H49" s="93"/>
    </row>
    <row r="50" spans="2:8" x14ac:dyDescent="0.25">
      <c r="B50" s="1" t="s">
        <v>311</v>
      </c>
      <c r="C50" s="3">
        <f>'NOTAS (2)'!C32</f>
        <v>11031404.220000001</v>
      </c>
      <c r="D50" s="3">
        <v>11958749.93</v>
      </c>
      <c r="E50" s="349">
        <f t="shared" si="2"/>
        <v>-927345.70999999903</v>
      </c>
      <c r="F50" s="93"/>
      <c r="H50" s="93"/>
    </row>
    <row r="51" spans="2:8" x14ac:dyDescent="0.25">
      <c r="B51" s="1" t="s">
        <v>312</v>
      </c>
      <c r="C51" s="3">
        <f>'NOTAS (2)'!C33</f>
        <v>309383.53999999998</v>
      </c>
      <c r="D51" s="3">
        <v>217651.07</v>
      </c>
      <c r="E51" s="349">
        <f t="shared" si="2"/>
        <v>91732.469999999972</v>
      </c>
      <c r="F51" s="93"/>
      <c r="H51" s="93"/>
    </row>
    <row r="52" spans="2:8" x14ac:dyDescent="0.25">
      <c r="B52" s="1" t="s">
        <v>313</v>
      </c>
      <c r="C52" s="3">
        <f>'NOTAS (2)'!C34</f>
        <v>636169.65</v>
      </c>
      <c r="D52" s="3">
        <v>987856.91</v>
      </c>
      <c r="E52" s="349">
        <f t="shared" si="2"/>
        <v>-351687.26</v>
      </c>
      <c r="F52" s="93"/>
      <c r="H52" s="93"/>
    </row>
    <row r="53" spans="2:8" x14ac:dyDescent="0.25">
      <c r="B53" s="1" t="s">
        <v>314</v>
      </c>
      <c r="C53" s="3">
        <f>'NOTAS (2)'!C35</f>
        <v>321821.21000000002</v>
      </c>
      <c r="D53" s="3">
        <v>334270.28000000003</v>
      </c>
      <c r="E53" s="349">
        <f t="shared" si="2"/>
        <v>-12449.070000000007</v>
      </c>
      <c r="F53" s="93"/>
      <c r="H53" s="93"/>
    </row>
    <row r="54" spans="2:8" x14ac:dyDescent="0.25">
      <c r="B54" s="1" t="s">
        <v>315</v>
      </c>
      <c r="C54" s="3">
        <f>'NOTAS (2)'!C36</f>
        <v>0</v>
      </c>
      <c r="D54" s="3">
        <v>0</v>
      </c>
      <c r="E54" s="349">
        <f t="shared" si="2"/>
        <v>0</v>
      </c>
      <c r="F54" s="93"/>
      <c r="H54" s="93"/>
    </row>
    <row r="55" spans="2:8" x14ac:dyDescent="0.25">
      <c r="B55" s="1" t="s">
        <v>316</v>
      </c>
      <c r="C55" s="3">
        <f>'NOTAS (2)'!C37</f>
        <v>2087210.93</v>
      </c>
      <c r="D55" s="3">
        <v>603860.62</v>
      </c>
      <c r="E55" s="349">
        <f t="shared" si="2"/>
        <v>1483350.31</v>
      </c>
      <c r="F55" s="93"/>
      <c r="H55" s="93"/>
    </row>
    <row r="56" spans="2:8" x14ac:dyDescent="0.25">
      <c r="B56" s="1" t="s">
        <v>317</v>
      </c>
      <c r="C56" s="3">
        <f>'NOTAS (2)'!C38</f>
        <v>1000</v>
      </c>
      <c r="D56" s="3">
        <v>569519.16</v>
      </c>
      <c r="E56" s="349">
        <f t="shared" si="2"/>
        <v>-568519.16</v>
      </c>
      <c r="F56" s="93"/>
      <c r="H56" s="93"/>
    </row>
    <row r="57" spans="2:8" x14ac:dyDescent="0.25">
      <c r="B57" s="1" t="s">
        <v>318</v>
      </c>
      <c r="C57" s="3">
        <f>'NOTAS (2)'!C39</f>
        <v>39615.769999999997</v>
      </c>
      <c r="D57" s="3">
        <v>438507.47</v>
      </c>
      <c r="E57" s="349">
        <f t="shared" si="2"/>
        <v>-398891.69999999995</v>
      </c>
      <c r="F57" s="93"/>
      <c r="H57" s="93"/>
    </row>
    <row r="58" spans="2:8" x14ac:dyDescent="0.25">
      <c r="B58" s="1" t="s">
        <v>319</v>
      </c>
      <c r="C58" s="3">
        <f>'NOTAS (2)'!C40</f>
        <v>35286.42</v>
      </c>
      <c r="D58" s="3">
        <v>554193.06999999995</v>
      </c>
      <c r="E58" s="349">
        <f t="shared" si="2"/>
        <v>-518906.64999999997</v>
      </c>
      <c r="F58" s="93"/>
      <c r="H58" s="93"/>
    </row>
    <row r="59" spans="2:8" x14ac:dyDescent="0.25">
      <c r="B59" s="1" t="s">
        <v>320</v>
      </c>
      <c r="C59" s="3">
        <f>'NOTAS (2)'!C41</f>
        <v>201285.99</v>
      </c>
      <c r="D59" s="3">
        <v>862652.92</v>
      </c>
      <c r="E59" s="349">
        <f t="shared" si="2"/>
        <v>-661366.93000000005</v>
      </c>
      <c r="F59" s="93"/>
      <c r="H59" s="93"/>
    </row>
    <row r="60" spans="2:8" x14ac:dyDescent="0.25">
      <c r="B60" s="1" t="s">
        <v>321</v>
      </c>
      <c r="C60" s="3">
        <f>'NOTAS (2)'!C42</f>
        <v>1000</v>
      </c>
      <c r="D60" s="3">
        <v>193595.25</v>
      </c>
      <c r="E60" s="349">
        <f t="shared" si="2"/>
        <v>-192595.25</v>
      </c>
      <c r="F60" s="93"/>
      <c r="H60" s="93"/>
    </row>
    <row r="61" spans="2:8" x14ac:dyDescent="0.25">
      <c r="B61" s="1" t="s">
        <v>322</v>
      </c>
      <c r="C61" s="3">
        <f>'NOTAS (2)'!C43</f>
        <v>643453.48</v>
      </c>
      <c r="D61" s="3">
        <v>717629.93</v>
      </c>
      <c r="E61" s="349">
        <f t="shared" si="2"/>
        <v>-74176.45000000007</v>
      </c>
      <c r="F61" s="93"/>
      <c r="H61" s="93"/>
    </row>
    <row r="62" spans="2:8" x14ac:dyDescent="0.25">
      <c r="B62" s="1" t="s">
        <v>323</v>
      </c>
      <c r="C62" s="3">
        <f>'NOTAS (2)'!C44</f>
        <v>253178.31</v>
      </c>
      <c r="D62" s="3">
        <v>731373.28</v>
      </c>
      <c r="E62" s="349">
        <f t="shared" si="2"/>
        <v>-478194.97000000003</v>
      </c>
      <c r="F62" s="93"/>
      <c r="H62" s="93"/>
    </row>
    <row r="63" spans="2:8" x14ac:dyDescent="0.25">
      <c r="B63" s="1" t="s">
        <v>324</v>
      </c>
      <c r="C63" s="3">
        <f>'NOTAS (2)'!C45</f>
        <v>0</v>
      </c>
      <c r="D63" s="3">
        <v>0</v>
      </c>
      <c r="E63" s="349">
        <f t="shared" si="2"/>
        <v>0</v>
      </c>
      <c r="F63" s="93"/>
      <c r="H63" s="93"/>
    </row>
    <row r="64" spans="2:8" x14ac:dyDescent="0.25">
      <c r="B64" s="1" t="s">
        <v>325</v>
      </c>
      <c r="C64" s="3">
        <f>'NOTAS (2)'!C46</f>
        <v>598571.82999999996</v>
      </c>
      <c r="D64" s="3">
        <v>1579706.65</v>
      </c>
      <c r="E64" s="349">
        <f t="shared" si="2"/>
        <v>-981134.82</v>
      </c>
      <c r="F64" s="93"/>
      <c r="H64" s="93"/>
    </row>
    <row r="65" spans="1:9" x14ac:dyDescent="0.25">
      <c r="B65" s="1" t="s">
        <v>326</v>
      </c>
      <c r="C65" s="3">
        <f>'NOTAS (2)'!C47</f>
        <v>191288.21</v>
      </c>
      <c r="D65" s="3">
        <v>60686.99</v>
      </c>
      <c r="E65" s="349">
        <f t="shared" si="2"/>
        <v>130601.22</v>
      </c>
      <c r="F65" s="93"/>
      <c r="H65" s="93"/>
    </row>
    <row r="66" spans="1:9" x14ac:dyDescent="0.25">
      <c r="B66" s="1" t="s">
        <v>327</v>
      </c>
      <c r="C66" s="3">
        <f>'NOTAS (2)'!C48</f>
        <v>262113.91</v>
      </c>
      <c r="D66" s="3">
        <v>1400</v>
      </c>
      <c r="E66" s="351">
        <f t="shared" si="2"/>
        <v>260713.91</v>
      </c>
      <c r="F66" s="93"/>
      <c r="H66" s="93"/>
    </row>
    <row r="67" spans="1:9" x14ac:dyDescent="0.25">
      <c r="B67" s="6" t="s">
        <v>328</v>
      </c>
      <c r="C67" s="95">
        <f>SUM(C44:C66)</f>
        <v>162815430.26000002</v>
      </c>
      <c r="D67" s="95">
        <f>SUM(D44:D66)</f>
        <v>188827935.69000003</v>
      </c>
      <c r="E67" s="353">
        <f>C67-D67</f>
        <v>-26012505.430000007</v>
      </c>
      <c r="F67" s="94"/>
    </row>
    <row r="68" spans="1:9" x14ac:dyDescent="0.25">
      <c r="I68" s="68"/>
    </row>
    <row r="69" spans="1:9" x14ac:dyDescent="0.25">
      <c r="B69" s="6" t="s">
        <v>2551</v>
      </c>
      <c r="C69" s="17"/>
      <c r="D69" s="17"/>
      <c r="E69" s="17"/>
      <c r="H69" s="68"/>
    </row>
    <row r="70" spans="1:9" x14ac:dyDescent="0.25">
      <c r="B70" s="6" t="s">
        <v>2550</v>
      </c>
      <c r="C70" s="17"/>
      <c r="D70" s="17"/>
      <c r="E70" s="17"/>
    </row>
    <row r="71" spans="1:9" x14ac:dyDescent="0.25">
      <c r="B71" s="6"/>
      <c r="C71" s="17"/>
      <c r="D71" s="17"/>
      <c r="E71" s="17"/>
    </row>
    <row r="72" spans="1:9" x14ac:dyDescent="0.25">
      <c r="B72" s="1"/>
    </row>
    <row r="73" spans="1:9" x14ac:dyDescent="0.25">
      <c r="B73" s="1"/>
    </row>
    <row r="74" spans="1:9" x14ac:dyDescent="0.25">
      <c r="B74" s="17" t="s">
        <v>329</v>
      </c>
    </row>
    <row r="76" spans="1:9" x14ac:dyDescent="0.25">
      <c r="B76" s="17" t="s">
        <v>2552</v>
      </c>
      <c r="C76" s="17"/>
      <c r="D76" s="17"/>
      <c r="E76" s="17"/>
      <c r="G76" s="17"/>
    </row>
    <row r="77" spans="1:9" x14ac:dyDescent="0.25">
      <c r="A77" s="17"/>
      <c r="B77" s="17" t="s">
        <v>2553</v>
      </c>
      <c r="C77" s="17"/>
      <c r="D77" s="17"/>
      <c r="E77" s="17"/>
      <c r="G77" s="17"/>
    </row>
    <row r="79" spans="1:9" x14ac:dyDescent="0.25">
      <c r="B79" s="17" t="s">
        <v>291</v>
      </c>
      <c r="C79" s="138">
        <v>2024</v>
      </c>
      <c r="D79" s="138">
        <v>2023</v>
      </c>
      <c r="E79" s="138" t="s">
        <v>2544</v>
      </c>
      <c r="F79" s="63"/>
      <c r="H79" s="63"/>
    </row>
    <row r="80" spans="1:9" x14ac:dyDescent="0.25">
      <c r="B80" s="1" t="s">
        <v>330</v>
      </c>
      <c r="C80" s="3">
        <f>'NOTAS (2)'!C55</f>
        <v>0</v>
      </c>
      <c r="D80" s="3">
        <v>0</v>
      </c>
      <c r="E80" s="345">
        <f>C80-D80</f>
        <v>0</v>
      </c>
      <c r="F80" s="134"/>
      <c r="G80" s="18"/>
      <c r="H80" s="93"/>
    </row>
    <row r="81" spans="1:8" x14ac:dyDescent="0.25">
      <c r="B81" s="1" t="s">
        <v>331</v>
      </c>
      <c r="C81" s="3">
        <v>457266.02</v>
      </c>
      <c r="D81" s="3">
        <v>518769.57</v>
      </c>
      <c r="E81" s="345">
        <f t="shared" ref="E81:E88" si="3">C81-D81</f>
        <v>-61503.549999999988</v>
      </c>
      <c r="F81" s="134"/>
      <c r="G81" s="18"/>
      <c r="H81" s="93"/>
    </row>
    <row r="82" spans="1:8" x14ac:dyDescent="0.25">
      <c r="A82" s="17"/>
      <c r="B82" s="1" t="s">
        <v>332</v>
      </c>
      <c r="C82" s="3">
        <f>'NOTAS (2)'!C57</f>
        <v>0</v>
      </c>
      <c r="D82" s="3">
        <v>0</v>
      </c>
      <c r="E82" s="345">
        <f t="shared" si="3"/>
        <v>0</v>
      </c>
      <c r="F82" s="134"/>
      <c r="H82" s="93"/>
    </row>
    <row r="83" spans="1:8" x14ac:dyDescent="0.25">
      <c r="B83" s="1" t="s">
        <v>333</v>
      </c>
      <c r="C83" s="3">
        <f>'NOTAS (2)'!C58</f>
        <v>0</v>
      </c>
      <c r="D83" s="3">
        <v>0</v>
      </c>
      <c r="E83" s="345">
        <f t="shared" si="3"/>
        <v>0</v>
      </c>
      <c r="F83" s="134"/>
      <c r="H83" s="93"/>
    </row>
    <row r="84" spans="1:8" x14ac:dyDescent="0.25">
      <c r="B84" s="1" t="s">
        <v>334</v>
      </c>
      <c r="C84" s="3">
        <f>'NOTAS (2)'!C59</f>
        <v>0</v>
      </c>
      <c r="D84" s="3">
        <v>0</v>
      </c>
      <c r="E84" s="345">
        <f t="shared" si="3"/>
        <v>0</v>
      </c>
      <c r="F84" s="134"/>
      <c r="H84" s="93"/>
    </row>
    <row r="85" spans="1:8" x14ac:dyDescent="0.25">
      <c r="B85" s="1" t="s">
        <v>335</v>
      </c>
      <c r="C85" s="3">
        <f>'NOTAS (2)'!C60</f>
        <v>0</v>
      </c>
      <c r="D85" s="3">
        <v>0</v>
      </c>
      <c r="E85" s="345">
        <f t="shared" si="3"/>
        <v>0</v>
      </c>
      <c r="F85" s="134"/>
      <c r="G85" s="18"/>
      <c r="H85" s="93"/>
    </row>
    <row r="86" spans="1:8" x14ac:dyDescent="0.25">
      <c r="B86" s="1" t="s">
        <v>336</v>
      </c>
      <c r="C86" s="142">
        <f>'NOTAS (2)'!C63</f>
        <v>218100</v>
      </c>
      <c r="D86" s="3">
        <v>918434.72</v>
      </c>
      <c r="E86" s="345">
        <f t="shared" si="3"/>
        <v>-700334.72</v>
      </c>
      <c r="F86" s="134"/>
    </row>
    <row r="87" spans="1:8" x14ac:dyDescent="0.25">
      <c r="B87" s="1" t="s">
        <v>337</v>
      </c>
      <c r="C87" s="3"/>
      <c r="D87" s="3">
        <v>0</v>
      </c>
      <c r="E87" s="345">
        <f t="shared" si="3"/>
        <v>0</v>
      </c>
      <c r="F87" s="134"/>
    </row>
    <row r="88" spans="1:8" x14ac:dyDescent="0.25">
      <c r="B88" s="1" t="s">
        <v>338</v>
      </c>
      <c r="C88" s="3"/>
      <c r="D88" s="3">
        <v>25000</v>
      </c>
      <c r="E88" s="345">
        <f t="shared" si="3"/>
        <v>-25000</v>
      </c>
      <c r="F88" s="134"/>
      <c r="G88" s="84"/>
    </row>
    <row r="89" spans="1:8" x14ac:dyDescent="0.25">
      <c r="B89" s="6" t="s">
        <v>339</v>
      </c>
      <c r="C89" s="95">
        <f>SUM(C80:C88)</f>
        <v>675366.02</v>
      </c>
      <c r="D89" s="95">
        <f t="shared" ref="D89" si="4">SUM(D80:D88)</f>
        <v>1462204.29</v>
      </c>
      <c r="E89" s="354">
        <f>C89-D89</f>
        <v>-786838.27</v>
      </c>
      <c r="F89" s="141"/>
    </row>
    <row r="92" spans="1:8" x14ac:dyDescent="0.25">
      <c r="B92" s="17" t="s">
        <v>340</v>
      </c>
      <c r="C92" t="s">
        <v>7</v>
      </c>
    </row>
    <row r="93" spans="1:8" x14ac:dyDescent="0.25">
      <c r="F93" t="s">
        <v>7</v>
      </c>
    </row>
    <row r="94" spans="1:8" x14ac:dyDescent="0.25">
      <c r="B94" s="17" t="s">
        <v>2554</v>
      </c>
      <c r="C94" s="17"/>
      <c r="D94" s="17"/>
      <c r="E94" s="17"/>
    </row>
    <row r="95" spans="1:8" x14ac:dyDescent="0.25">
      <c r="B95" s="17" t="s">
        <v>2434</v>
      </c>
      <c r="C95" s="17"/>
      <c r="D95" s="17"/>
      <c r="E95" s="17"/>
    </row>
    <row r="96" spans="1:8" x14ac:dyDescent="0.25">
      <c r="B96" s="17"/>
    </row>
    <row r="97" spans="2:8" x14ac:dyDescent="0.25">
      <c r="B97" s="17" t="s">
        <v>341</v>
      </c>
      <c r="C97" s="138">
        <v>2024</v>
      </c>
      <c r="D97" s="138">
        <v>2023</v>
      </c>
      <c r="E97" s="138" t="s">
        <v>2544</v>
      </c>
      <c r="F97" s="63"/>
    </row>
    <row r="98" spans="2:8" x14ac:dyDescent="0.25">
      <c r="B98" s="1" t="s">
        <v>342</v>
      </c>
      <c r="C98" s="3">
        <f>'NOTAS (2)'!C61</f>
        <v>7931552.6500000004</v>
      </c>
      <c r="D98" s="3">
        <v>1539015.54</v>
      </c>
      <c r="E98" s="349">
        <f>C98-D98</f>
        <v>6392537.1100000003</v>
      </c>
      <c r="F98" s="93"/>
    </row>
    <row r="99" spans="2:8" x14ac:dyDescent="0.25">
      <c r="B99" s="1" t="s">
        <v>343</v>
      </c>
      <c r="C99" s="3">
        <f>'NOTAS (2)'!C62</f>
        <v>1277156.05</v>
      </c>
      <c r="D99" s="3">
        <v>1500237.15</v>
      </c>
      <c r="E99" s="349">
        <f>C99-D99</f>
        <v>-223081.09999999986</v>
      </c>
      <c r="F99" s="93"/>
    </row>
    <row r="100" spans="2:8" x14ac:dyDescent="0.25">
      <c r="B100" s="17" t="s">
        <v>344</v>
      </c>
      <c r="C100" s="95">
        <f>SUM(C98:C99)</f>
        <v>9208708.7000000011</v>
      </c>
      <c r="D100" s="95">
        <f>SUM(D98:D99)</f>
        <v>3039252.69</v>
      </c>
      <c r="E100" s="353">
        <f>C100-D100</f>
        <v>6169456.0100000016</v>
      </c>
      <c r="F100" s="94"/>
    </row>
    <row r="104" spans="2:8" x14ac:dyDescent="0.25">
      <c r="B104" s="17" t="s">
        <v>345</v>
      </c>
      <c r="E104" s="84" t="s">
        <v>7</v>
      </c>
      <c r="F104" s="84"/>
    </row>
    <row r="106" spans="2:8" x14ac:dyDescent="0.25">
      <c r="B106" s="17" t="s">
        <v>2555</v>
      </c>
      <c r="C106" s="17"/>
      <c r="D106" s="17"/>
      <c r="E106" s="17"/>
    </row>
    <row r="107" spans="2:8" x14ac:dyDescent="0.25">
      <c r="B107" s="17" t="s">
        <v>2559</v>
      </c>
      <c r="C107" s="17"/>
      <c r="D107" s="17"/>
      <c r="E107" s="17"/>
    </row>
    <row r="108" spans="2:8" x14ac:dyDescent="0.25">
      <c r="B108" s="17" t="s">
        <v>2427</v>
      </c>
      <c r="C108" s="17"/>
      <c r="D108" s="17"/>
      <c r="E108" s="17"/>
    </row>
    <row r="110" spans="2:8" x14ac:dyDescent="0.25">
      <c r="B110" s="63" t="s">
        <v>291</v>
      </c>
      <c r="C110" s="138">
        <v>2024</v>
      </c>
      <c r="D110" s="138">
        <v>2023</v>
      </c>
      <c r="E110" s="138" t="s">
        <v>2544</v>
      </c>
      <c r="F110" s="63"/>
      <c r="G110" s="18"/>
      <c r="H110" s="63"/>
    </row>
    <row r="111" spans="2:8" x14ac:dyDescent="0.25">
      <c r="B111" s="1" t="s">
        <v>346</v>
      </c>
      <c r="C111" s="3">
        <f>'NOTAS (2)'!C72</f>
        <v>82757052.569999993</v>
      </c>
      <c r="D111" s="3">
        <v>106279052.02</v>
      </c>
      <c r="E111" s="349">
        <f>C111-D111</f>
        <v>-23521999.450000003</v>
      </c>
      <c r="F111" s="93"/>
      <c r="G111" s="18"/>
      <c r="H111" s="93"/>
    </row>
    <row r="112" spans="2:8" x14ac:dyDescent="0.25">
      <c r="B112" s="1" t="s">
        <v>347</v>
      </c>
      <c r="C112" s="3">
        <f>'NOTAS (2)'!C73</f>
        <v>3809294.59</v>
      </c>
      <c r="D112" s="3">
        <v>5734059.0499999998</v>
      </c>
      <c r="E112" s="349">
        <f>C112-D112</f>
        <v>-1924764.46</v>
      </c>
      <c r="F112" s="93"/>
      <c r="G112" s="84"/>
      <c r="H112" s="93"/>
    </row>
    <row r="113" spans="2:8" x14ac:dyDescent="0.25">
      <c r="B113" s="17" t="s">
        <v>348</v>
      </c>
      <c r="C113" s="92">
        <f>SUM(C111:C112)</f>
        <v>86566347.159999996</v>
      </c>
      <c r="D113" s="95">
        <f>SUM(D111:D112)</f>
        <v>112013111.06999999</v>
      </c>
      <c r="E113" s="353">
        <f>C113-D113</f>
        <v>-25446763.909999996</v>
      </c>
      <c r="F113" s="94"/>
      <c r="H113" s="94"/>
    </row>
    <row r="117" spans="2:8" x14ac:dyDescent="0.25">
      <c r="B117" s="17" t="s">
        <v>349</v>
      </c>
    </row>
    <row r="118" spans="2:8" x14ac:dyDescent="0.25">
      <c r="B118" s="17"/>
    </row>
    <row r="119" spans="2:8" x14ac:dyDescent="0.25">
      <c r="B119" s="17" t="s">
        <v>2556</v>
      </c>
      <c r="C119" s="17"/>
      <c r="D119" s="17"/>
      <c r="E119" s="17"/>
    </row>
    <row r="120" spans="2:8" x14ac:dyDescent="0.25">
      <c r="B120" s="17" t="s">
        <v>2557</v>
      </c>
      <c r="C120" s="17"/>
      <c r="D120" s="17"/>
    </row>
    <row r="121" spans="2:8" x14ac:dyDescent="0.25">
      <c r="B121" s="17"/>
      <c r="C121" s="17"/>
      <c r="D121" s="17"/>
    </row>
    <row r="122" spans="2:8" x14ac:dyDescent="0.25">
      <c r="B122" s="17"/>
    </row>
    <row r="123" spans="2:8" x14ac:dyDescent="0.25">
      <c r="B123" s="66" t="s">
        <v>291</v>
      </c>
      <c r="C123" s="138">
        <v>2024</v>
      </c>
      <c r="D123" s="138">
        <v>2023</v>
      </c>
      <c r="E123" s="138" t="s">
        <v>2544</v>
      </c>
      <c r="F123" s="63"/>
      <c r="H123" s="63"/>
    </row>
    <row r="124" spans="2:8" x14ac:dyDescent="0.25">
      <c r="B124" s="1" t="s">
        <v>350</v>
      </c>
      <c r="C124" s="3">
        <f>'NOTAS (2)'!C80</f>
        <v>0</v>
      </c>
      <c r="D124" s="3">
        <f>'NOTAS (2)'!E80</f>
        <v>0</v>
      </c>
      <c r="E124" s="349">
        <f>C124-D124</f>
        <v>0</v>
      </c>
      <c r="F124" s="93"/>
      <c r="G124" s="18"/>
      <c r="H124" s="144"/>
    </row>
    <row r="125" spans="2:8" x14ac:dyDescent="0.25">
      <c r="B125" s="1" t="s">
        <v>351</v>
      </c>
      <c r="C125" s="3">
        <v>97323.889999999898</v>
      </c>
      <c r="D125" s="3">
        <f>'NOTAS (2)'!E81</f>
        <v>299849.96999999997</v>
      </c>
      <c r="E125" s="349">
        <f t="shared" ref="E125:E128" si="5">C125-D125</f>
        <v>-202526.08000000007</v>
      </c>
      <c r="F125" s="93"/>
      <c r="G125" s="18"/>
      <c r="H125" s="144"/>
    </row>
    <row r="126" spans="2:8" x14ac:dyDescent="0.25">
      <c r="B126" s="1" t="s">
        <v>352</v>
      </c>
      <c r="C126" s="3">
        <v>0</v>
      </c>
      <c r="D126" s="3">
        <f>'NOTAS (2)'!E82</f>
        <v>198394.7</v>
      </c>
      <c r="E126" s="349">
        <f t="shared" si="5"/>
        <v>-198394.7</v>
      </c>
      <c r="F126" s="93"/>
      <c r="G126" s="18"/>
      <c r="H126" s="144"/>
    </row>
    <row r="127" spans="2:8" x14ac:dyDescent="0.25">
      <c r="B127" s="1" t="s">
        <v>353</v>
      </c>
      <c r="C127" s="3">
        <v>4857182.7033333303</v>
      </c>
      <c r="D127" s="3">
        <f>'NOTAS (2)'!E83</f>
        <v>12157097.49</v>
      </c>
      <c r="E127" s="349">
        <f t="shared" si="5"/>
        <v>-7299914.7866666699</v>
      </c>
      <c r="F127" s="93"/>
      <c r="G127" s="18"/>
      <c r="H127" s="144"/>
    </row>
    <row r="128" spans="2:8" x14ac:dyDescent="0.25">
      <c r="B128" s="1" t="s">
        <v>354</v>
      </c>
      <c r="C128" s="3">
        <f>'NOTAS (2)'!C84</f>
        <v>0</v>
      </c>
      <c r="D128" s="3">
        <f>'NOTAS (2)'!E84</f>
        <v>0</v>
      </c>
      <c r="E128" s="349">
        <f t="shared" si="5"/>
        <v>0</v>
      </c>
      <c r="F128" s="93"/>
      <c r="G128" s="18"/>
      <c r="H128" s="144"/>
    </row>
    <row r="129" spans="2:12" x14ac:dyDescent="0.25">
      <c r="B129" s="6" t="s">
        <v>355</v>
      </c>
      <c r="C129" s="113">
        <f>SUM(C124:C128)</f>
        <v>4954506.59333333</v>
      </c>
      <c r="D129" s="113">
        <f>SUM(D124:D128)</f>
        <v>12655342.16</v>
      </c>
      <c r="E129" s="353">
        <f>C129-D129</f>
        <v>-7700835.5666666701</v>
      </c>
      <c r="F129" s="93"/>
      <c r="G129" s="18"/>
      <c r="H129" s="145"/>
    </row>
    <row r="130" spans="2:12" x14ac:dyDescent="0.25">
      <c r="E130" s="103"/>
      <c r="G130" s="16"/>
      <c r="H130" s="68"/>
    </row>
    <row r="131" spans="2:12" x14ac:dyDescent="0.25">
      <c r="C131" s="75"/>
      <c r="E131" s="108"/>
      <c r="G131" s="108"/>
      <c r="H131" s="84"/>
    </row>
    <row r="132" spans="2:12" x14ac:dyDescent="0.25">
      <c r="C132" s="75"/>
      <c r="E132" s="108"/>
      <c r="G132" s="108"/>
      <c r="H132" s="84"/>
    </row>
    <row r="133" spans="2:12" x14ac:dyDescent="0.25">
      <c r="C133" s="75"/>
      <c r="E133" s="108"/>
      <c r="G133" s="108"/>
      <c r="H133" s="84"/>
    </row>
    <row r="134" spans="2:12" x14ac:dyDescent="0.25">
      <c r="C134" s="75"/>
      <c r="E134" s="108"/>
      <c r="G134" s="108"/>
      <c r="H134" s="84"/>
    </row>
    <row r="135" spans="2:12" x14ac:dyDescent="0.25">
      <c r="C135" s="75"/>
      <c r="E135" s="108"/>
      <c r="G135" s="108"/>
      <c r="H135" s="84"/>
    </row>
    <row r="136" spans="2:12" x14ac:dyDescent="0.25">
      <c r="G136" s="68"/>
      <c r="J136" s="18"/>
      <c r="K136" s="18"/>
    </row>
    <row r="137" spans="2:12" x14ac:dyDescent="0.25">
      <c r="G137" s="68"/>
      <c r="J137" s="18"/>
      <c r="K137" s="18"/>
    </row>
    <row r="138" spans="2:12" x14ac:dyDescent="0.25">
      <c r="G138" s="68"/>
      <c r="J138" s="18"/>
      <c r="K138" s="18"/>
    </row>
    <row r="139" spans="2:12" x14ac:dyDescent="0.25">
      <c r="C139" s="16"/>
      <c r="D139" s="16"/>
      <c r="E139" s="16"/>
      <c r="F139" s="16"/>
      <c r="G139" s="68"/>
      <c r="J139" s="18"/>
      <c r="K139" s="18"/>
    </row>
    <row r="140" spans="2:12" x14ac:dyDescent="0.25">
      <c r="B140" s="17"/>
      <c r="G140" s="68"/>
      <c r="J140" s="18"/>
      <c r="K140" s="18"/>
    </row>
    <row r="141" spans="2:12" x14ac:dyDescent="0.25">
      <c r="B141" s="17" t="s">
        <v>356</v>
      </c>
      <c r="C141" s="121"/>
      <c r="D141" s="121"/>
      <c r="E141" s="16"/>
      <c r="F141" s="16"/>
      <c r="G141" s="68"/>
      <c r="J141" s="18"/>
      <c r="K141" s="18"/>
    </row>
    <row r="142" spans="2:12" x14ac:dyDescent="0.25">
      <c r="C142" s="16"/>
      <c r="D142" s="16"/>
      <c r="E142" s="16"/>
      <c r="F142" s="16"/>
      <c r="G142" s="68"/>
      <c r="J142" s="18"/>
      <c r="K142" s="18"/>
    </row>
    <row r="143" spans="2:12" ht="20.25" customHeight="1" x14ac:dyDescent="0.25">
      <c r="B143" s="220">
        <v>2024</v>
      </c>
      <c r="C143" s="221"/>
      <c r="D143" s="221"/>
      <c r="E143" s="221"/>
      <c r="F143" s="340"/>
      <c r="G143" s="68"/>
      <c r="J143" s="18"/>
      <c r="K143" s="18"/>
    </row>
    <row r="144" spans="2:12" ht="54" customHeight="1" x14ac:dyDescent="0.25">
      <c r="B144" s="341"/>
      <c r="C144" s="342" t="s">
        <v>357</v>
      </c>
      <c r="D144" s="342" t="s">
        <v>358</v>
      </c>
      <c r="E144" s="343" t="s">
        <v>359</v>
      </c>
      <c r="F144" s="357" t="s">
        <v>360</v>
      </c>
      <c r="G144" s="358"/>
      <c r="H144" s="359"/>
      <c r="I144" s="359"/>
      <c r="J144" s="360"/>
      <c r="K144" s="360"/>
      <c r="L144" s="361"/>
    </row>
    <row r="145" spans="2:14" x14ac:dyDescent="0.25">
      <c r="B145" s="12" t="s">
        <v>361</v>
      </c>
      <c r="C145" s="121">
        <v>621781501.27999997</v>
      </c>
      <c r="D145" s="121">
        <f>'[3]Notas Exp. E. F.=1-21'!$D$459</f>
        <v>143085672.22</v>
      </c>
      <c r="E145" s="122">
        <f>'[3]Notas Exp. E. F.=1-21'!$F$459</f>
        <v>2729227.82</v>
      </c>
      <c r="F145" s="16">
        <f>SUM(C145:E145)</f>
        <v>767596401.32000005</v>
      </c>
      <c r="G145" s="97"/>
      <c r="H145" s="121"/>
      <c r="I145" s="97"/>
      <c r="J145" s="97"/>
      <c r="K145" s="97"/>
      <c r="L145" s="97"/>
    </row>
    <row r="146" spans="2:14" x14ac:dyDescent="0.25">
      <c r="B146" s="219" t="s">
        <v>362</v>
      </c>
      <c r="C146" s="171">
        <v>0</v>
      </c>
      <c r="D146" s="125">
        <v>0</v>
      </c>
      <c r="E146" s="125">
        <v>0</v>
      </c>
      <c r="F146" s="147">
        <f>SUM(C146:E146)</f>
        <v>0</v>
      </c>
      <c r="G146" s="82"/>
      <c r="H146" s="82"/>
      <c r="I146" s="97"/>
      <c r="J146" s="97"/>
      <c r="K146" s="97"/>
      <c r="L146" s="97"/>
    </row>
    <row r="147" spans="2:14" x14ac:dyDescent="0.25">
      <c r="B147" s="222" t="s">
        <v>363</v>
      </c>
      <c r="C147" s="125">
        <f t="shared" ref="C147:F147" si="6">SUM(C145:C146)</f>
        <v>621781501.27999997</v>
      </c>
      <c r="D147" s="125">
        <f t="shared" si="6"/>
        <v>143085672.22</v>
      </c>
      <c r="E147" s="126">
        <f t="shared" si="6"/>
        <v>2729227.82</v>
      </c>
      <c r="F147" s="126">
        <f t="shared" si="6"/>
        <v>767596401.32000005</v>
      </c>
      <c r="G147" s="97"/>
      <c r="H147" s="97"/>
      <c r="I147" s="97"/>
      <c r="J147" s="97"/>
      <c r="K147" s="97"/>
      <c r="L147" s="97"/>
    </row>
    <row r="148" spans="2:14" x14ac:dyDescent="0.25">
      <c r="B148" s="12"/>
      <c r="C148" s="121"/>
      <c r="D148" s="121"/>
      <c r="E148" s="122"/>
      <c r="F148" s="122"/>
      <c r="G148" s="82"/>
      <c r="H148" s="82"/>
      <c r="I148" s="82"/>
      <c r="J148" s="82"/>
      <c r="K148" s="82"/>
      <c r="L148" s="82"/>
    </row>
    <row r="149" spans="2:14" x14ac:dyDescent="0.25">
      <c r="B149" s="224" t="s">
        <v>364</v>
      </c>
      <c r="C149" s="225"/>
      <c r="D149" s="225"/>
      <c r="E149" s="226"/>
      <c r="F149" s="226"/>
      <c r="G149" s="82"/>
      <c r="H149" s="82"/>
      <c r="I149" s="82"/>
      <c r="J149" s="82"/>
      <c r="K149" s="82"/>
      <c r="L149" s="82"/>
    </row>
    <row r="150" spans="2:14" x14ac:dyDescent="0.25">
      <c r="B150" s="13" t="s">
        <v>365</v>
      </c>
      <c r="C150" s="123">
        <v>-461518270.20999998</v>
      </c>
      <c r="D150" s="123">
        <v>-98639796.780000001</v>
      </c>
      <c r="E150" s="124">
        <v>-1686705.41</v>
      </c>
      <c r="F150" s="124">
        <f>SUM(C150:E150)</f>
        <v>-561844772.39999998</v>
      </c>
      <c r="G150" s="82"/>
      <c r="H150" s="82"/>
      <c r="I150" s="82"/>
      <c r="J150" s="82"/>
      <c r="K150" s="82"/>
      <c r="L150" s="82"/>
    </row>
    <row r="151" spans="2:14" x14ac:dyDescent="0.25">
      <c r="B151" s="219" t="s">
        <v>366</v>
      </c>
      <c r="C151" s="323">
        <f>'[4]NOTAS ojo 7-21'!$C$151</f>
        <v>-2037942.15</v>
      </c>
      <c r="D151" s="146">
        <f>'[4]NOTAS ojo 7-21'!$D$151</f>
        <v>-283037.82</v>
      </c>
      <c r="E151" s="147">
        <f>'[4]NOTAS ojo 7-21'!$E$151</f>
        <v>-3233.48</v>
      </c>
      <c r="F151" s="147">
        <f>SUM(C151:E151)</f>
        <v>-2324213.4499999997</v>
      </c>
      <c r="G151" s="82"/>
      <c r="H151" s="82"/>
      <c r="I151" s="82"/>
      <c r="J151" s="82"/>
      <c r="K151" s="82"/>
      <c r="L151" s="82"/>
      <c r="N151" s="16"/>
    </row>
    <row r="152" spans="2:14" x14ac:dyDescent="0.25">
      <c r="B152" s="222" t="s">
        <v>367</v>
      </c>
      <c r="C152" s="125">
        <f>SUM(C150:C151)</f>
        <v>-463556212.35999995</v>
      </c>
      <c r="D152" s="125">
        <f>SUM(D150:D151)</f>
        <v>-98922834.599999994</v>
      </c>
      <c r="E152" s="126">
        <f>SUM(E150:E151)</f>
        <v>-1689938.89</v>
      </c>
      <c r="F152" s="126">
        <f>SUM(F150:F151)</f>
        <v>-564168985.85000002</v>
      </c>
      <c r="G152" s="82"/>
      <c r="H152" s="82"/>
      <c r="I152" s="82"/>
      <c r="J152" s="82"/>
      <c r="K152" s="82"/>
      <c r="L152" s="82"/>
    </row>
    <row r="153" spans="2:14" ht="15.75" thickBot="1" x14ac:dyDescent="0.3">
      <c r="B153" s="223" t="s">
        <v>2225</v>
      </c>
      <c r="C153" s="119">
        <f>+C147+C152</f>
        <v>158225288.92000002</v>
      </c>
      <c r="D153" s="119">
        <f>+D147+D152</f>
        <v>44162837.620000005</v>
      </c>
      <c r="E153" s="120">
        <f>+E147+E152</f>
        <v>1039288.9299999999</v>
      </c>
      <c r="F153" s="120">
        <f>+F147+F152</f>
        <v>203427415.47000003</v>
      </c>
      <c r="G153" s="97"/>
      <c r="H153" s="97"/>
      <c r="I153" s="97"/>
      <c r="J153" s="97"/>
      <c r="K153" s="97"/>
      <c r="L153" s="97"/>
    </row>
    <row r="154" spans="2:14" x14ac:dyDescent="0.25">
      <c r="B154" t="s">
        <v>7</v>
      </c>
      <c r="G154" s="18"/>
      <c r="H154" s="18"/>
      <c r="I154" s="18"/>
      <c r="J154" s="18"/>
      <c r="K154" s="18"/>
      <c r="L154" s="18"/>
    </row>
    <row r="155" spans="2:14" x14ac:dyDescent="0.25">
      <c r="B155" s="15"/>
      <c r="C155" s="17"/>
      <c r="D155" s="17"/>
      <c r="E155" s="17"/>
      <c r="F155" s="135"/>
      <c r="G155" s="18"/>
      <c r="H155" s="18"/>
      <c r="I155" s="18"/>
      <c r="J155" s="18"/>
      <c r="K155" s="18"/>
      <c r="L155" s="18"/>
    </row>
    <row r="156" spans="2:14" ht="39.75" customHeight="1" x14ac:dyDescent="0.25">
      <c r="B156" s="114"/>
      <c r="C156" s="4" t="s">
        <v>2413</v>
      </c>
      <c r="D156" s="4" t="s">
        <v>358</v>
      </c>
      <c r="E156" s="115" t="s">
        <v>359</v>
      </c>
      <c r="F156" s="116" t="s">
        <v>360</v>
      </c>
      <c r="G156" s="18"/>
      <c r="H156" s="18"/>
      <c r="I156" s="18"/>
      <c r="J156" s="18"/>
      <c r="K156" s="18"/>
      <c r="L156" s="18"/>
    </row>
    <row r="157" spans="2:14" x14ac:dyDescent="0.25">
      <c r="B157" s="12" t="s">
        <v>2537</v>
      </c>
      <c r="C157" s="121">
        <v>579717047.32000005</v>
      </c>
      <c r="D157" s="121">
        <v>122793282.17</v>
      </c>
      <c r="E157" s="122">
        <v>2729227.82</v>
      </c>
      <c r="F157" s="122">
        <f>SUM(C157:E157)</f>
        <v>705239557.31000006</v>
      </c>
      <c r="G157" s="18"/>
      <c r="H157" s="18"/>
      <c r="I157" s="18"/>
      <c r="J157" s="18"/>
      <c r="K157" s="18"/>
      <c r="L157" s="18"/>
    </row>
    <row r="158" spans="2:14" x14ac:dyDescent="0.25">
      <c r="B158" s="13" t="s">
        <v>369</v>
      </c>
      <c r="C158" s="171"/>
      <c r="D158" s="125"/>
      <c r="E158" s="126">
        <v>0</v>
      </c>
      <c r="F158" s="126">
        <f>SUM(C158:E158)</f>
        <v>0</v>
      </c>
      <c r="G158" s="18"/>
      <c r="H158" s="18"/>
      <c r="I158" s="18"/>
      <c r="J158" s="18"/>
      <c r="K158" s="18"/>
      <c r="L158" s="18"/>
    </row>
    <row r="159" spans="2:14" x14ac:dyDescent="0.25">
      <c r="B159" s="12" t="s">
        <v>2538</v>
      </c>
      <c r="C159" s="125">
        <f>SUM(C157:C158)</f>
        <v>579717047.32000005</v>
      </c>
      <c r="D159" s="125">
        <f>SUM(D157:D158)</f>
        <v>122793282.17</v>
      </c>
      <c r="E159" s="126">
        <f>SUM(E157:E158)</f>
        <v>2729227.82</v>
      </c>
      <c r="F159" s="126">
        <f>SUM(F157:F158)</f>
        <v>705239557.31000006</v>
      </c>
      <c r="G159" s="18"/>
      <c r="H159" s="18"/>
      <c r="I159" s="18"/>
      <c r="J159" s="18"/>
      <c r="K159" s="18"/>
      <c r="L159" s="18"/>
    </row>
    <row r="160" spans="2:14" x14ac:dyDescent="0.25">
      <c r="B160" s="12"/>
      <c r="C160" s="121"/>
      <c r="D160" s="121"/>
      <c r="E160" s="122"/>
      <c r="F160" s="122"/>
      <c r="G160" s="18"/>
      <c r="H160" s="18"/>
      <c r="I160" s="18"/>
      <c r="J160" s="18"/>
      <c r="K160" s="18"/>
      <c r="L160" s="18"/>
    </row>
    <row r="161" spans="2:12" x14ac:dyDescent="0.25">
      <c r="B161" s="12" t="s">
        <v>364</v>
      </c>
      <c r="C161" s="117"/>
      <c r="D161" s="117"/>
      <c r="E161" s="118"/>
      <c r="F161" s="118"/>
      <c r="G161" s="18"/>
      <c r="H161" s="18"/>
      <c r="I161" s="18"/>
      <c r="J161" s="67"/>
      <c r="K161" s="67"/>
      <c r="L161" s="18"/>
    </row>
    <row r="162" spans="2:12" x14ac:dyDescent="0.25">
      <c r="B162" s="13" t="s">
        <v>365</v>
      </c>
      <c r="C162" s="172">
        <v>-424835311.50999999</v>
      </c>
      <c r="D162" s="123">
        <v>-93828153.840000004</v>
      </c>
      <c r="E162" s="124">
        <v>-1631736.25</v>
      </c>
      <c r="F162" s="124">
        <f>SUM(C162:E162)</f>
        <v>-520295201.60000002</v>
      </c>
      <c r="G162" s="18"/>
      <c r="H162" s="122"/>
      <c r="I162" s="18"/>
      <c r="J162" s="18"/>
      <c r="K162" s="18"/>
      <c r="L162" s="18"/>
    </row>
    <row r="163" spans="2:12" x14ac:dyDescent="0.25">
      <c r="B163" s="13" t="s">
        <v>1899</v>
      </c>
      <c r="C163" s="172">
        <v>0</v>
      </c>
      <c r="D163" s="123">
        <v>0</v>
      </c>
      <c r="E163" s="124">
        <v>0</v>
      </c>
      <c r="F163" s="124">
        <f t="shared" ref="F163:F164" si="7">SUM(C163:E163)</f>
        <v>0</v>
      </c>
      <c r="G163" s="18"/>
      <c r="H163" s="122"/>
      <c r="I163" s="18"/>
      <c r="J163" s="18"/>
      <c r="K163" s="18"/>
      <c r="L163" s="18"/>
    </row>
    <row r="164" spans="2:12" x14ac:dyDescent="0.25">
      <c r="B164" s="13" t="s">
        <v>366</v>
      </c>
      <c r="C164" s="323">
        <v>-2037942.15</v>
      </c>
      <c r="D164" s="323">
        <v>-283037.82</v>
      </c>
      <c r="E164" s="147">
        <v>-3233.48</v>
      </c>
      <c r="F164" s="147">
        <f t="shared" si="7"/>
        <v>-2324213.4499999997</v>
      </c>
      <c r="G164" s="123"/>
      <c r="H164" s="123"/>
      <c r="I164" s="124"/>
      <c r="J164" s="67"/>
      <c r="K164" s="67"/>
      <c r="L164" s="18"/>
    </row>
    <row r="165" spans="2:12" x14ac:dyDescent="0.25">
      <c r="B165" s="12" t="s">
        <v>367</v>
      </c>
      <c r="C165" s="125">
        <f>SUM(C162:C164)</f>
        <v>-426873253.65999997</v>
      </c>
      <c r="D165" s="125">
        <f>SUM(D162:D164)</f>
        <v>-94111191.659999996</v>
      </c>
      <c r="E165" s="126">
        <f>SUM(E162:E164)</f>
        <v>-1634969.73</v>
      </c>
      <c r="F165" s="126">
        <f>SUM(F162:F164)</f>
        <v>-522619415.05000001</v>
      </c>
      <c r="G165" s="18"/>
      <c r="H165" s="18"/>
      <c r="I165" s="18"/>
      <c r="J165" s="18"/>
      <c r="K165" s="18"/>
      <c r="L165" s="18"/>
    </row>
    <row r="166" spans="2:12" ht="15.75" thickBot="1" x14ac:dyDescent="0.3">
      <c r="B166" s="6" t="s">
        <v>2414</v>
      </c>
      <c r="C166" s="119">
        <f>+C159+C165</f>
        <v>152843793.66000009</v>
      </c>
      <c r="D166" s="119">
        <f>+D159+D165</f>
        <v>28682090.510000005</v>
      </c>
      <c r="E166" s="120">
        <f>+E159+E165</f>
        <v>1094258.0899999999</v>
      </c>
      <c r="F166" s="120">
        <f>F159+F165</f>
        <v>182620142.26000005</v>
      </c>
      <c r="G166" s="18"/>
      <c r="H166" s="18"/>
      <c r="I166" s="18"/>
      <c r="J166" s="18"/>
      <c r="K166" s="18"/>
      <c r="L166" s="18"/>
    </row>
    <row r="167" spans="2:12" ht="15.75" thickTop="1" x14ac:dyDescent="0.25">
      <c r="G167" s="18"/>
      <c r="H167" s="18"/>
      <c r="I167" s="18"/>
      <c r="J167" s="18"/>
      <c r="K167" s="18"/>
      <c r="L167" s="18"/>
    </row>
    <row r="168" spans="2:12" x14ac:dyDescent="0.25">
      <c r="B168" s="17" t="s">
        <v>2560</v>
      </c>
      <c r="C168" s="17"/>
      <c r="D168" s="17"/>
      <c r="E168" s="17"/>
      <c r="G168" s="82"/>
      <c r="H168" s="82"/>
      <c r="I168" s="82"/>
      <c r="J168" s="82"/>
      <c r="K168" s="82"/>
      <c r="L168" s="18"/>
    </row>
    <row r="169" spans="2:12" x14ac:dyDescent="0.25">
      <c r="B169" s="17" t="s">
        <v>2558</v>
      </c>
      <c r="C169" s="17"/>
      <c r="D169" s="17"/>
      <c r="E169" s="17"/>
      <c r="G169" s="82"/>
      <c r="H169" s="82"/>
      <c r="I169" s="82"/>
      <c r="J169" s="82"/>
      <c r="K169" s="82"/>
      <c r="L169" s="18"/>
    </row>
    <row r="170" spans="2:12" x14ac:dyDescent="0.25">
      <c r="B170" s="17"/>
      <c r="C170" s="17"/>
      <c r="D170" s="17"/>
      <c r="E170" s="17"/>
      <c r="G170" s="330"/>
      <c r="H170" s="330"/>
      <c r="I170" s="330"/>
      <c r="J170" s="330"/>
      <c r="K170" s="82"/>
    </row>
    <row r="171" spans="2:12" x14ac:dyDescent="0.25">
      <c r="F171" s="84"/>
      <c r="G171" s="82"/>
      <c r="H171" s="82"/>
      <c r="I171" s="82"/>
      <c r="J171" s="82"/>
      <c r="K171" s="82"/>
    </row>
    <row r="172" spans="2:12" x14ac:dyDescent="0.25">
      <c r="F172" s="68"/>
      <c r="G172" s="330"/>
      <c r="H172" s="16"/>
      <c r="J172" s="82"/>
      <c r="K172" s="82"/>
    </row>
    <row r="173" spans="2:12" x14ac:dyDescent="0.25">
      <c r="B173" s="17" t="s">
        <v>370</v>
      </c>
      <c r="J173" s="18"/>
      <c r="K173" s="18"/>
    </row>
    <row r="174" spans="2:12" x14ac:dyDescent="0.25">
      <c r="J174" s="18"/>
      <c r="K174" s="18"/>
    </row>
    <row r="175" spans="2:12" x14ac:dyDescent="0.25">
      <c r="B175" s="17" t="s">
        <v>17</v>
      </c>
      <c r="J175" s="18"/>
      <c r="K175" s="18"/>
    </row>
    <row r="176" spans="2:12" x14ac:dyDescent="0.25">
      <c r="J176" s="18"/>
      <c r="K176" s="18"/>
    </row>
    <row r="177" spans="2:11" x14ac:dyDescent="0.25">
      <c r="B177" s="17" t="s">
        <v>371</v>
      </c>
      <c r="J177" s="18"/>
      <c r="K177" s="18"/>
    </row>
    <row r="179" spans="2:11" x14ac:dyDescent="0.25">
      <c r="B179" s="17" t="s">
        <v>2561</v>
      </c>
      <c r="C179" s="17"/>
      <c r="D179" s="17"/>
      <c r="E179" s="17"/>
    </row>
    <row r="180" spans="2:11" x14ac:dyDescent="0.25">
      <c r="B180" s="17" t="s">
        <v>2562</v>
      </c>
      <c r="C180" s="17"/>
      <c r="D180" s="17"/>
      <c r="E180" s="17"/>
      <c r="H180" s="233" t="e">
        <f>C166+#REF!</f>
        <v>#REF!</v>
      </c>
      <c r="I180" s="16">
        <f>D166</f>
        <v>28682090.510000005</v>
      </c>
      <c r="J180" s="16" t="e">
        <f>H180+I180</f>
        <v>#REF!</v>
      </c>
    </row>
    <row r="181" spans="2:11" x14ac:dyDescent="0.25">
      <c r="B181" s="17" t="s">
        <v>2223</v>
      </c>
      <c r="C181" s="17"/>
      <c r="D181" s="17"/>
      <c r="E181" s="17"/>
    </row>
    <row r="183" spans="2:11" x14ac:dyDescent="0.25">
      <c r="B183" s="17" t="s">
        <v>7</v>
      </c>
      <c r="F183" s="143"/>
      <c r="H183" s="63"/>
    </row>
    <row r="184" spans="2:11" x14ac:dyDescent="0.25">
      <c r="B184" s="63" t="s">
        <v>341</v>
      </c>
      <c r="C184" s="138">
        <v>2024</v>
      </c>
      <c r="D184" s="138">
        <v>2023</v>
      </c>
      <c r="E184" s="138" t="s">
        <v>2544</v>
      </c>
    </row>
    <row r="185" spans="2:11" x14ac:dyDescent="0.25">
      <c r="B185" t="s">
        <v>372</v>
      </c>
      <c r="C185" s="3">
        <f>'NOTAS (2)'!C106</f>
        <v>270165619.80000001</v>
      </c>
      <c r="D185" s="3">
        <f>'NOTAS (2)'!E109</f>
        <v>90068929.769999996</v>
      </c>
      <c r="E185" s="356">
        <f>C185-D185</f>
        <v>180096690.03000003</v>
      </c>
      <c r="G185" s="18"/>
    </row>
    <row r="186" spans="2:11" x14ac:dyDescent="0.25">
      <c r="B186" s="17" t="s">
        <v>373</v>
      </c>
      <c r="C186" s="92">
        <f>C185</f>
        <v>270165619.80000001</v>
      </c>
      <c r="D186" s="92">
        <f>D185</f>
        <v>90068929.769999996</v>
      </c>
      <c r="E186" s="353">
        <f>C186-D186</f>
        <v>180096690.03000003</v>
      </c>
    </row>
    <row r="189" spans="2:11" x14ac:dyDescent="0.25">
      <c r="B189" s="17" t="s">
        <v>374</v>
      </c>
    </row>
    <row r="190" spans="2:11" x14ac:dyDescent="0.25">
      <c r="B190" s="17"/>
    </row>
    <row r="191" spans="2:11" x14ac:dyDescent="0.25">
      <c r="B191" s="17" t="s">
        <v>2563</v>
      </c>
      <c r="C191" s="17"/>
      <c r="D191" s="17"/>
      <c r="E191" s="17"/>
      <c r="F191" t="s">
        <v>7</v>
      </c>
    </row>
    <row r="192" spans="2:11" x14ac:dyDescent="0.25">
      <c r="B192" s="17" t="s">
        <v>2564</v>
      </c>
      <c r="C192" s="17"/>
      <c r="D192" s="17"/>
      <c r="E192" s="17"/>
      <c r="F192" t="s">
        <v>7</v>
      </c>
    </row>
    <row r="193" spans="2:6" x14ac:dyDescent="0.25">
      <c r="B193" s="17" t="s">
        <v>2565</v>
      </c>
      <c r="C193" s="17"/>
      <c r="D193" s="17"/>
      <c r="E193" s="17"/>
    </row>
    <row r="194" spans="2:6" x14ac:dyDescent="0.25">
      <c r="B194" s="17"/>
    </row>
    <row r="195" spans="2:6" x14ac:dyDescent="0.25">
      <c r="B195" s="17"/>
    </row>
    <row r="196" spans="2:6" x14ac:dyDescent="0.25">
      <c r="B196" s="63" t="s">
        <v>341</v>
      </c>
      <c r="C196" s="138">
        <v>2024</v>
      </c>
      <c r="D196" s="138">
        <v>2023</v>
      </c>
      <c r="E196" s="138" t="s">
        <v>2544</v>
      </c>
    </row>
    <row r="197" spans="2:6" x14ac:dyDescent="0.25">
      <c r="B197" t="s">
        <v>375</v>
      </c>
      <c r="C197" s="47">
        <v>2700</v>
      </c>
      <c r="D197" s="47">
        <f>'NOTAS (2)'!E115</f>
        <v>4615.72</v>
      </c>
      <c r="E197" s="349">
        <f>C197-D197</f>
        <v>-1915.7200000000003</v>
      </c>
    </row>
    <row r="198" spans="2:6" x14ac:dyDescent="0.25">
      <c r="B198" t="s">
        <v>376</v>
      </c>
      <c r="C198" s="47">
        <v>750</v>
      </c>
      <c r="D198" s="47">
        <f>'NOTAS (2)'!E116</f>
        <v>81336.850000000006</v>
      </c>
      <c r="E198" s="349">
        <f t="shared" ref="E198:E201" si="8">C198-D198</f>
        <v>-80586.850000000006</v>
      </c>
      <c r="F198" s="68"/>
    </row>
    <row r="199" spans="2:6" x14ac:dyDescent="0.25">
      <c r="B199" t="s">
        <v>377</v>
      </c>
      <c r="C199" s="47"/>
      <c r="D199" s="47">
        <f>'NOTAS (2)'!E117</f>
        <v>30318.31</v>
      </c>
      <c r="E199" s="349">
        <f t="shared" si="8"/>
        <v>-30318.31</v>
      </c>
    </row>
    <row r="200" spans="2:6" x14ac:dyDescent="0.25">
      <c r="B200" t="s">
        <v>378</v>
      </c>
      <c r="C200" s="47"/>
      <c r="D200" s="47">
        <f>'NOTAS (2)'!E118</f>
        <v>0</v>
      </c>
      <c r="E200" s="349">
        <f t="shared" si="8"/>
        <v>0</v>
      </c>
    </row>
    <row r="201" spans="2:6" x14ac:dyDescent="0.25">
      <c r="B201" t="s">
        <v>379</v>
      </c>
      <c r="C201" s="47"/>
      <c r="D201" s="47">
        <f>'NOTAS (2)'!E119</f>
        <v>0</v>
      </c>
      <c r="E201" s="349">
        <f t="shared" si="8"/>
        <v>0</v>
      </c>
    </row>
    <row r="202" spans="2:6" x14ac:dyDescent="0.25">
      <c r="B202" s="17" t="s">
        <v>380</v>
      </c>
      <c r="C202" s="139">
        <f>SUM(C197:C201)</f>
        <v>3450</v>
      </c>
      <c r="D202" s="139">
        <f>SUM(D197:D201)</f>
        <v>116270.88</v>
      </c>
      <c r="E202" s="356">
        <f>C202-D202</f>
        <v>-112820.88</v>
      </c>
    </row>
    <row r="203" spans="2:6" x14ac:dyDescent="0.25">
      <c r="B203" s="17"/>
      <c r="C203" s="162"/>
      <c r="D203" s="162"/>
      <c r="E203" s="90"/>
    </row>
    <row r="204" spans="2:6" x14ac:dyDescent="0.25">
      <c r="B204" s="17"/>
      <c r="C204" s="162"/>
      <c r="D204" s="162"/>
      <c r="E204" s="90"/>
    </row>
    <row r="208" spans="2:6" x14ac:dyDescent="0.25">
      <c r="B208" s="17" t="s">
        <v>381</v>
      </c>
      <c r="C208" t="s">
        <v>56</v>
      </c>
    </row>
    <row r="210" spans="2:11" x14ac:dyDescent="0.25">
      <c r="B210" s="17" t="s">
        <v>2567</v>
      </c>
      <c r="C210" s="17"/>
      <c r="D210" s="17"/>
      <c r="E210" s="17"/>
    </row>
    <row r="211" spans="2:11" x14ac:dyDescent="0.25">
      <c r="B211" s="17" t="s">
        <v>2566</v>
      </c>
      <c r="C211" s="17"/>
      <c r="D211" s="17"/>
      <c r="E211" s="17"/>
    </row>
    <row r="212" spans="2:11" x14ac:dyDescent="0.25">
      <c r="B212" s="17"/>
      <c r="C212" s="17"/>
      <c r="D212" s="17"/>
      <c r="E212" s="17"/>
    </row>
    <row r="213" spans="2:11" x14ac:dyDescent="0.25">
      <c r="B213" s="17" t="s">
        <v>291</v>
      </c>
      <c r="C213" s="138">
        <v>2024</v>
      </c>
      <c r="D213" s="138">
        <v>2023</v>
      </c>
      <c r="E213" s="138" t="s">
        <v>2544</v>
      </c>
      <c r="G213" s="18"/>
      <c r="H213" s="18"/>
      <c r="I213" s="18"/>
      <c r="J213" s="18"/>
      <c r="K213" s="18"/>
    </row>
    <row r="214" spans="2:11" x14ac:dyDescent="0.25">
      <c r="B214" s="81" t="s">
        <v>382</v>
      </c>
      <c r="C214" s="3">
        <v>534638142.77999997</v>
      </c>
      <c r="D214" s="132">
        <v>534638142.77999997</v>
      </c>
      <c r="E214" s="349">
        <f>C214-D214</f>
        <v>0</v>
      </c>
      <c r="F214" s="16"/>
      <c r="G214" s="18"/>
      <c r="H214" s="18"/>
      <c r="I214" s="18"/>
      <c r="J214" s="18"/>
      <c r="K214" s="18"/>
    </row>
    <row r="215" spans="2:11" x14ac:dyDescent="0.25">
      <c r="B215" s="81" t="s">
        <v>383</v>
      </c>
      <c r="C215" s="177">
        <v>-227237303.94999999</v>
      </c>
      <c r="D215" s="177">
        <v>-129597645.56</v>
      </c>
      <c r="E215" s="349">
        <f t="shared" ref="E215:E217" si="9">C215-D215</f>
        <v>-97639658.389999986</v>
      </c>
      <c r="F215" s="16"/>
      <c r="G215" s="18"/>
    </row>
    <row r="216" spans="2:11" x14ac:dyDescent="0.25">
      <c r="B216" t="s">
        <v>51</v>
      </c>
      <c r="C216" s="164">
        <v>-31418561.109999999</v>
      </c>
      <c r="D216" s="164">
        <v>60063303.200000003</v>
      </c>
      <c r="E216" s="349">
        <f t="shared" si="9"/>
        <v>-91481864.310000002</v>
      </c>
      <c r="F216" s="16"/>
      <c r="G216" s="18"/>
    </row>
    <row r="217" spans="2:11" x14ac:dyDescent="0.25">
      <c r="B217" s="81" t="s">
        <v>52</v>
      </c>
      <c r="C217" s="64">
        <v>55345843.439999998</v>
      </c>
      <c r="D217" s="64">
        <v>30916755.440000001</v>
      </c>
      <c r="E217" s="349">
        <f t="shared" si="9"/>
        <v>24429087.999999996</v>
      </c>
      <c r="F217" s="16"/>
      <c r="G217" s="18"/>
    </row>
    <row r="218" spans="2:11" x14ac:dyDescent="0.25">
      <c r="B218" s="80" t="s">
        <v>26</v>
      </c>
      <c r="C218" s="99">
        <f>SUM(C214:C217)</f>
        <v>331328121.15999997</v>
      </c>
      <c r="D218" s="99">
        <f>SUM(D214:D217)</f>
        <v>496020555.85999995</v>
      </c>
      <c r="E218" s="353">
        <f>C218-D218</f>
        <v>-164692434.69999999</v>
      </c>
      <c r="F218" s="16"/>
      <c r="G218" s="135"/>
    </row>
    <row r="221" spans="2:11" x14ac:dyDescent="0.25">
      <c r="B221" s="17" t="s">
        <v>384</v>
      </c>
    </row>
    <row r="223" spans="2:11" x14ac:dyDescent="0.25">
      <c r="B223" s="17" t="s">
        <v>2568</v>
      </c>
      <c r="C223" s="17"/>
      <c r="D223" s="17"/>
      <c r="E223" s="17"/>
    </row>
    <row r="224" spans="2:11" x14ac:dyDescent="0.25">
      <c r="B224" s="17" t="s">
        <v>2569</v>
      </c>
      <c r="C224" s="17"/>
      <c r="D224" s="17"/>
      <c r="E224" s="17"/>
    </row>
    <row r="225" spans="2:7" x14ac:dyDescent="0.25">
      <c r="B225" s="17"/>
      <c r="C225" s="17"/>
      <c r="D225" s="17"/>
      <c r="E225" s="17"/>
    </row>
    <row r="227" spans="2:7" x14ac:dyDescent="0.25">
      <c r="B227" s="17" t="s">
        <v>341</v>
      </c>
      <c r="C227" s="138">
        <v>2024</v>
      </c>
      <c r="D227" s="138">
        <v>2023</v>
      </c>
      <c r="E227" s="138" t="s">
        <v>2544</v>
      </c>
      <c r="F227" s="17"/>
    </row>
    <row r="228" spans="2:7" x14ac:dyDescent="0.25">
      <c r="B228" s="1" t="s">
        <v>385</v>
      </c>
      <c r="C228" s="3">
        <f>'NOTAS (2)'!C136</f>
        <v>84412052.420000002</v>
      </c>
      <c r="D228" s="3">
        <f>'NOTAS (2)'!E136</f>
        <v>52021891.329999998</v>
      </c>
      <c r="E228" s="349">
        <f>C228-D228</f>
        <v>32390161.090000004</v>
      </c>
      <c r="G228" s="18"/>
    </row>
    <row r="229" spans="2:7" x14ac:dyDescent="0.25">
      <c r="B229" s="1" t="s">
        <v>386</v>
      </c>
      <c r="C229" s="3">
        <f>'NOTAS (2)'!C137</f>
        <v>9935430.3600000013</v>
      </c>
      <c r="D229" s="3">
        <f>'NOTAS (2)'!E137</f>
        <v>8217101.4500000002</v>
      </c>
      <c r="E229" s="349">
        <f t="shared" ref="E229:E233" si="10">C229-D229</f>
        <v>1718328.9100000011</v>
      </c>
      <c r="G229" s="18"/>
    </row>
    <row r="230" spans="2:7" x14ac:dyDescent="0.25">
      <c r="B230" s="1" t="s">
        <v>387</v>
      </c>
      <c r="C230" s="3">
        <f>'NOTAS (2)'!C138</f>
        <v>2520899.88</v>
      </c>
      <c r="D230" s="3">
        <f>'NOTAS (2)'!E138</f>
        <v>5270551.38</v>
      </c>
      <c r="E230" s="349">
        <f t="shared" si="10"/>
        <v>-2749651.5</v>
      </c>
      <c r="G230" s="18"/>
    </row>
    <row r="231" spans="2:7" x14ac:dyDescent="0.25">
      <c r="B231" s="1" t="s">
        <v>388</v>
      </c>
      <c r="C231" s="3">
        <f>'NOTAS (2)'!C139</f>
        <v>0</v>
      </c>
      <c r="D231" s="3">
        <f>'NOTAS (2)'!E139</f>
        <v>0</v>
      </c>
      <c r="E231" s="349">
        <f t="shared" si="10"/>
        <v>0</v>
      </c>
      <c r="G231" s="84"/>
    </row>
    <row r="232" spans="2:7" x14ac:dyDescent="0.25">
      <c r="B232" s="1" t="s">
        <v>389</v>
      </c>
      <c r="C232" s="3">
        <f>'NOTAS (2)'!C140</f>
        <v>0</v>
      </c>
      <c r="D232" s="3">
        <f>'NOTAS (2)'!E140</f>
        <v>0</v>
      </c>
      <c r="E232" s="349">
        <f t="shared" si="10"/>
        <v>0</v>
      </c>
    </row>
    <row r="233" spans="2:7" x14ac:dyDescent="0.25">
      <c r="B233" s="1" t="s">
        <v>390</v>
      </c>
      <c r="C233" s="3">
        <f>'NOTAS (2)'!C141</f>
        <v>453503.21</v>
      </c>
      <c r="D233" s="3">
        <f>'NOTAS (2)'!E141</f>
        <v>0</v>
      </c>
      <c r="E233" s="349">
        <f t="shared" si="10"/>
        <v>453503.21</v>
      </c>
    </row>
    <row r="234" spans="2:7" x14ac:dyDescent="0.25">
      <c r="B234" s="6" t="s">
        <v>391</v>
      </c>
      <c r="C234" s="95">
        <f>SUM(C228:C233)</f>
        <v>97321885.86999999</v>
      </c>
      <c r="D234" s="95">
        <f>SUM(D228:D233)</f>
        <v>65509544.160000004</v>
      </c>
      <c r="E234" s="353">
        <f>C234-D234</f>
        <v>31812341.709999986</v>
      </c>
    </row>
    <row r="236" spans="2:7" x14ac:dyDescent="0.25">
      <c r="C236" s="18" t="s">
        <v>7</v>
      </c>
    </row>
    <row r="237" spans="2:7" x14ac:dyDescent="0.25">
      <c r="B237" s="17" t="s">
        <v>392</v>
      </c>
      <c r="C237" s="84" t="s">
        <v>7</v>
      </c>
      <c r="G237" s="63" t="s">
        <v>7</v>
      </c>
    </row>
    <row r="239" spans="2:7" x14ac:dyDescent="0.25">
      <c r="B239" s="17" t="s">
        <v>2570</v>
      </c>
      <c r="C239" s="17"/>
      <c r="D239" s="17"/>
      <c r="E239" s="17"/>
    </row>
    <row r="240" spans="2:7" x14ac:dyDescent="0.25">
      <c r="B240" s="17" t="s">
        <v>2571</v>
      </c>
      <c r="C240" s="17"/>
      <c r="D240" s="17"/>
      <c r="E240" s="17"/>
    </row>
    <row r="241" spans="2:7" x14ac:dyDescent="0.25">
      <c r="B241" s="17"/>
      <c r="C241" s="17"/>
      <c r="D241" s="17"/>
      <c r="E241" s="17"/>
    </row>
    <row r="243" spans="2:7" x14ac:dyDescent="0.25">
      <c r="B243" s="17" t="s">
        <v>341</v>
      </c>
      <c r="C243" s="138">
        <v>2024</v>
      </c>
      <c r="D243" s="138">
        <v>2023</v>
      </c>
      <c r="E243" s="138" t="s">
        <v>2544</v>
      </c>
    </row>
    <row r="244" spans="2:7" x14ac:dyDescent="0.25">
      <c r="B244" t="s">
        <v>393</v>
      </c>
      <c r="C244" s="3">
        <f>'NOTAS (2)'!C148</f>
        <v>21844319.149999999</v>
      </c>
      <c r="D244" s="3">
        <v>21844319.149999999</v>
      </c>
      <c r="E244" s="356">
        <f>C244-D244</f>
        <v>0</v>
      </c>
      <c r="G244" s="68"/>
    </row>
    <row r="245" spans="2:7" x14ac:dyDescent="0.25">
      <c r="B245" s="17"/>
      <c r="C245" s="92">
        <f>C244</f>
        <v>21844319.149999999</v>
      </c>
      <c r="D245" s="92">
        <f>D244</f>
        <v>21844319.149999999</v>
      </c>
      <c r="E245" s="362">
        <f>C245-D245</f>
        <v>0</v>
      </c>
      <c r="G245" s="18"/>
    </row>
    <row r="248" spans="2:7" x14ac:dyDescent="0.25">
      <c r="B248" s="17" t="s">
        <v>394</v>
      </c>
    </row>
    <row r="249" spans="2:7" x14ac:dyDescent="0.25">
      <c r="C249" t="s">
        <v>7</v>
      </c>
    </row>
    <row r="250" spans="2:7" x14ac:dyDescent="0.25">
      <c r="B250" s="17" t="s">
        <v>2572</v>
      </c>
      <c r="C250" s="17"/>
      <c r="D250" s="17"/>
      <c r="E250" s="17"/>
    </row>
    <row r="251" spans="2:7" x14ac:dyDescent="0.25">
      <c r="B251" s="17" t="s">
        <v>2573</v>
      </c>
      <c r="C251" s="17"/>
      <c r="D251" s="17"/>
      <c r="E251" s="17"/>
    </row>
    <row r="252" spans="2:7" x14ac:dyDescent="0.25">
      <c r="B252" s="17"/>
    </row>
    <row r="253" spans="2:7" x14ac:dyDescent="0.25">
      <c r="B253" s="63" t="s">
        <v>341</v>
      </c>
      <c r="C253" s="138">
        <v>2024</v>
      </c>
      <c r="D253" s="138">
        <v>2023</v>
      </c>
      <c r="E253" s="138" t="s">
        <v>2544</v>
      </c>
    </row>
    <row r="254" spans="2:7" x14ac:dyDescent="0.25">
      <c r="B254" t="s">
        <v>395</v>
      </c>
      <c r="C254" s="3">
        <f>'NOTAS (2)'!C155</f>
        <v>25819481.620000001</v>
      </c>
      <c r="D254" s="3">
        <f>'NOTAS (2)'!E155</f>
        <v>25373756.009999998</v>
      </c>
      <c r="E254" s="349">
        <f>C254-D254</f>
        <v>445725.61000000313</v>
      </c>
    </row>
    <row r="255" spans="2:7" x14ac:dyDescent="0.25">
      <c r="B255" t="s">
        <v>396</v>
      </c>
      <c r="C255" s="3">
        <f>'NOTAS (2)'!C156</f>
        <v>34831.550000000003</v>
      </c>
      <c r="D255" s="3">
        <f>'NOTAS (2)'!E156</f>
        <v>0</v>
      </c>
      <c r="E255" s="349">
        <f t="shared" ref="E255:E259" si="11">C255-D255</f>
        <v>34831.550000000003</v>
      </c>
      <c r="G255" s="130"/>
    </row>
    <row r="256" spans="2:7" x14ac:dyDescent="0.25">
      <c r="B256" t="s">
        <v>397</v>
      </c>
      <c r="C256" s="3">
        <f>'NOTAS (2)'!C157</f>
        <v>0</v>
      </c>
      <c r="D256" s="3">
        <f>'NOTAS (2)'!E157</f>
        <v>0</v>
      </c>
      <c r="E256" s="349">
        <f t="shared" si="11"/>
        <v>0</v>
      </c>
      <c r="G256" s="130"/>
    </row>
    <row r="257" spans="2:5" x14ac:dyDescent="0.25">
      <c r="B257" t="s">
        <v>398</v>
      </c>
      <c r="C257" s="3">
        <f>'NOTAS (2)'!C158</f>
        <v>10634970.859999999</v>
      </c>
      <c r="D257" s="3">
        <f>'NOTAS (2)'!E158</f>
        <v>613082.1</v>
      </c>
      <c r="E257" s="349">
        <f t="shared" si="11"/>
        <v>10021888.76</v>
      </c>
    </row>
    <row r="258" spans="2:5" x14ac:dyDescent="0.25">
      <c r="B258" t="s">
        <v>399</v>
      </c>
      <c r="C258" s="3">
        <f>'NOTAS (2)'!C159</f>
        <v>0</v>
      </c>
      <c r="D258" s="3">
        <f>'NOTAS (2)'!E159</f>
        <v>0</v>
      </c>
      <c r="E258" s="349">
        <f t="shared" si="11"/>
        <v>0</v>
      </c>
    </row>
    <row r="259" spans="2:5" x14ac:dyDescent="0.25">
      <c r="B259" t="s">
        <v>400</v>
      </c>
      <c r="C259" s="3">
        <f>'NOTAS (2)'!C160</f>
        <v>3883874.8999999994</v>
      </c>
      <c r="D259" s="3">
        <f>'NOTAS (2)'!E160</f>
        <v>3845274.96</v>
      </c>
      <c r="E259" s="349">
        <f t="shared" si="11"/>
        <v>38599.939999999478</v>
      </c>
    </row>
    <row r="260" spans="2:5" x14ac:dyDescent="0.25">
      <c r="B260" s="17" t="s">
        <v>401</v>
      </c>
      <c r="C260" s="95">
        <f>SUM(C254:C259)</f>
        <v>40373158.93</v>
      </c>
      <c r="D260" s="95">
        <f>SUM(D254:D259)</f>
        <v>29832113.07</v>
      </c>
      <c r="E260" s="353">
        <f>C260-D260</f>
        <v>10541045.859999999</v>
      </c>
    </row>
    <row r="275" spans="2:8" x14ac:dyDescent="0.25">
      <c r="B275" s="17" t="s">
        <v>402</v>
      </c>
      <c r="G275" s="63"/>
    </row>
    <row r="277" spans="2:8" x14ac:dyDescent="0.25">
      <c r="B277" s="17" t="s">
        <v>2574</v>
      </c>
      <c r="C277" s="17"/>
      <c r="D277" s="17"/>
      <c r="E277" s="17"/>
    </row>
    <row r="278" spans="2:8" x14ac:dyDescent="0.25">
      <c r="B278" s="17" t="s">
        <v>2575</v>
      </c>
      <c r="C278" s="17"/>
      <c r="D278" s="17"/>
      <c r="E278" s="17"/>
    </row>
    <row r="279" spans="2:8" x14ac:dyDescent="0.25">
      <c r="B279" s="17"/>
      <c r="C279" s="17"/>
      <c r="D279" s="17"/>
      <c r="E279" s="17"/>
    </row>
    <row r="281" spans="2:8" x14ac:dyDescent="0.25">
      <c r="B281" s="63" t="s">
        <v>341</v>
      </c>
      <c r="C281" s="138">
        <v>2024</v>
      </c>
      <c r="D281" s="138">
        <v>2023</v>
      </c>
      <c r="E281" s="138" t="s">
        <v>2544</v>
      </c>
    </row>
    <row r="282" spans="2:8" x14ac:dyDescent="0.25">
      <c r="B282" t="s">
        <v>403</v>
      </c>
      <c r="C282" s="3">
        <f>'NOTAS (2)'!C167+C255</f>
        <v>25854313.170000002</v>
      </c>
      <c r="D282" s="3">
        <f>D254</f>
        <v>25373756.009999998</v>
      </c>
      <c r="E282" s="349">
        <f>C282-D282</f>
        <v>480557.16000000387</v>
      </c>
      <c r="G282" s="18"/>
    </row>
    <row r="283" spans="2:8" x14ac:dyDescent="0.25">
      <c r="B283" t="s">
        <v>404</v>
      </c>
      <c r="C283" s="3">
        <f>'NOTAS (2)'!C168</f>
        <v>0</v>
      </c>
      <c r="D283" s="3">
        <f>'[5]Notas 7-21'!C275</f>
        <v>0</v>
      </c>
      <c r="E283" s="349">
        <f>C283-D283</f>
        <v>0</v>
      </c>
      <c r="G283" s="18"/>
    </row>
    <row r="284" spans="2:8" x14ac:dyDescent="0.25">
      <c r="B284" s="17" t="s">
        <v>405</v>
      </c>
      <c r="C284" s="92">
        <f>SUM(C282:C283)</f>
        <v>25854313.170000002</v>
      </c>
      <c r="D284" s="92">
        <f>SUM(D282:D283)</f>
        <v>25373756.009999998</v>
      </c>
      <c r="E284" s="353">
        <f>C284-D284</f>
        <v>480557.16000000387</v>
      </c>
      <c r="G284" s="84"/>
    </row>
    <row r="287" spans="2:8" x14ac:dyDescent="0.25">
      <c r="B287" s="17" t="s">
        <v>406</v>
      </c>
      <c r="G287" s="63"/>
    </row>
    <row r="288" spans="2:8" x14ac:dyDescent="0.25">
      <c r="H288" s="3" t="s">
        <v>7</v>
      </c>
    </row>
    <row r="289" spans="2:5" x14ac:dyDescent="0.25">
      <c r="B289" s="17" t="s">
        <v>2577</v>
      </c>
      <c r="C289" s="17"/>
      <c r="D289" s="17"/>
      <c r="E289" s="17"/>
    </row>
    <row r="290" spans="2:5" x14ac:dyDescent="0.25">
      <c r="B290" s="17" t="s">
        <v>7</v>
      </c>
      <c r="C290" s="17"/>
      <c r="D290" s="17"/>
      <c r="E290" s="17"/>
    </row>
    <row r="291" spans="2:5" x14ac:dyDescent="0.25">
      <c r="B291" s="17" t="s">
        <v>7</v>
      </c>
      <c r="C291" s="17"/>
      <c r="D291" s="17"/>
      <c r="E291" s="17"/>
    </row>
    <row r="292" spans="2:5" x14ac:dyDescent="0.25">
      <c r="B292" s="63" t="s">
        <v>341</v>
      </c>
      <c r="C292" s="138">
        <v>2024</v>
      </c>
      <c r="D292" s="138">
        <v>2023</v>
      </c>
      <c r="E292" s="138" t="s">
        <v>2544</v>
      </c>
    </row>
    <row r="293" spans="2:5" x14ac:dyDescent="0.25">
      <c r="B293" t="s">
        <v>407</v>
      </c>
      <c r="C293" s="36">
        <f>'NOTAS (2)'!C175</f>
        <v>0</v>
      </c>
      <c r="D293" s="36">
        <f>'[5]Notas 7-21'!C284</f>
        <v>0</v>
      </c>
      <c r="E293" s="89"/>
    </row>
    <row r="294" spans="2:5" x14ac:dyDescent="0.25">
      <c r="B294" t="s">
        <v>408</v>
      </c>
      <c r="C294" s="36">
        <f>'NOTAS (2)'!C176</f>
        <v>0</v>
      </c>
      <c r="D294" s="36">
        <v>0</v>
      </c>
      <c r="E294" s="89"/>
    </row>
    <row r="295" spans="2:5" x14ac:dyDescent="0.25">
      <c r="B295" t="s">
        <v>409</v>
      </c>
      <c r="C295" s="36">
        <f>'NOTAS (2)'!C177</f>
        <v>0</v>
      </c>
      <c r="D295" s="36">
        <v>0</v>
      </c>
      <c r="E295" s="355" t="s">
        <v>2576</v>
      </c>
    </row>
    <row r="296" spans="2:5" x14ac:dyDescent="0.25">
      <c r="B296" s="17" t="s">
        <v>410</v>
      </c>
      <c r="C296" s="92">
        <f>SUM(C293:C295)</f>
        <v>0</v>
      </c>
      <c r="D296" s="92">
        <f>SUM(D293:D295)</f>
        <v>0</v>
      </c>
      <c r="E296" s="352" t="s">
        <v>2576</v>
      </c>
    </row>
    <row r="297" spans="2:5" x14ac:dyDescent="0.25">
      <c r="B297" s="17"/>
      <c r="C297" s="97"/>
      <c r="D297" s="97"/>
      <c r="E297" s="90"/>
    </row>
    <row r="299" spans="2:5" x14ac:dyDescent="0.25">
      <c r="B299" s="17" t="s">
        <v>411</v>
      </c>
    </row>
    <row r="301" spans="2:5" x14ac:dyDescent="0.25">
      <c r="B301" s="17" t="s">
        <v>2578</v>
      </c>
      <c r="C301" s="17"/>
      <c r="D301" s="17"/>
      <c r="E301" s="17"/>
    </row>
    <row r="302" spans="2:5" x14ac:dyDescent="0.25">
      <c r="B302" s="17" t="s">
        <v>2579</v>
      </c>
      <c r="C302" s="17"/>
      <c r="D302" s="17"/>
      <c r="E302" s="17"/>
    </row>
    <row r="304" spans="2:5" x14ac:dyDescent="0.25">
      <c r="B304" s="63" t="s">
        <v>341</v>
      </c>
      <c r="C304" s="138">
        <v>2024</v>
      </c>
      <c r="D304" s="138">
        <v>2023</v>
      </c>
      <c r="E304" s="138" t="s">
        <v>2544</v>
      </c>
    </row>
    <row r="305" spans="2:7" x14ac:dyDescent="0.25">
      <c r="B305" s="1" t="s">
        <v>412</v>
      </c>
      <c r="C305" s="3">
        <f>'NOTAS (2)'!C184</f>
        <v>0</v>
      </c>
      <c r="D305" s="3">
        <v>0</v>
      </c>
      <c r="E305" s="350">
        <f>C305-D305</f>
        <v>0</v>
      </c>
    </row>
    <row r="306" spans="2:7" x14ac:dyDescent="0.25">
      <c r="B306" s="1" t="s">
        <v>413</v>
      </c>
      <c r="C306" s="3">
        <f>'NOTAS (2)'!C185</f>
        <v>419618</v>
      </c>
      <c r="D306" s="3">
        <v>409618</v>
      </c>
      <c r="E306" s="349">
        <f t="shared" ref="E306:E309" si="12">C306-D306</f>
        <v>10000</v>
      </c>
    </row>
    <row r="307" spans="2:7" x14ac:dyDescent="0.25">
      <c r="B307" s="1" t="s">
        <v>414</v>
      </c>
      <c r="C307" s="3">
        <f>'NOTAS (2)'!C186</f>
        <v>10215352.859999999</v>
      </c>
      <c r="D307" s="3">
        <v>137051.1</v>
      </c>
      <c r="E307" s="349">
        <f t="shared" si="12"/>
        <v>10078301.76</v>
      </c>
    </row>
    <row r="308" spans="2:7" x14ac:dyDescent="0.25">
      <c r="B308" s="1" t="s">
        <v>415</v>
      </c>
      <c r="C308" s="3">
        <f>'NOTAS (2)'!C187</f>
        <v>0</v>
      </c>
      <c r="D308" s="3">
        <v>66413</v>
      </c>
      <c r="E308" s="349">
        <f t="shared" si="12"/>
        <v>-66413</v>
      </c>
    </row>
    <row r="309" spans="2:7" x14ac:dyDescent="0.25">
      <c r="B309" s="1" t="s">
        <v>416</v>
      </c>
      <c r="C309" s="3">
        <f>'NOTAS (2)'!C188</f>
        <v>0</v>
      </c>
      <c r="D309" s="3">
        <v>0</v>
      </c>
      <c r="E309" s="351">
        <f t="shared" si="12"/>
        <v>0</v>
      </c>
    </row>
    <row r="310" spans="2:7" x14ac:dyDescent="0.25">
      <c r="B310" s="6" t="s">
        <v>417</v>
      </c>
      <c r="C310" s="95">
        <f>SUM(C305:C309)</f>
        <v>10634970.859999999</v>
      </c>
      <c r="D310" s="95">
        <f>SUM(D305:D309)</f>
        <v>613082.1</v>
      </c>
      <c r="E310" s="353">
        <f>C310-D310</f>
        <v>10021888.76</v>
      </c>
      <c r="G310" s="178"/>
    </row>
    <row r="312" spans="2:7" x14ac:dyDescent="0.25">
      <c r="B312" s="17" t="s">
        <v>418</v>
      </c>
    </row>
    <row r="314" spans="2:7" x14ac:dyDescent="0.25">
      <c r="B314" s="17" t="s">
        <v>2580</v>
      </c>
      <c r="C314" s="17"/>
      <c r="D314" s="17"/>
      <c r="E314" s="17"/>
    </row>
    <row r="315" spans="2:7" x14ac:dyDescent="0.25">
      <c r="B315" s="17" t="s">
        <v>2581</v>
      </c>
      <c r="C315" s="17"/>
      <c r="D315" s="17"/>
      <c r="E315" s="17"/>
    </row>
    <row r="316" spans="2:7" x14ac:dyDescent="0.25">
      <c r="B316" s="17" t="s">
        <v>2582</v>
      </c>
      <c r="C316" s="17"/>
      <c r="D316" s="17"/>
      <c r="E316" s="17"/>
    </row>
    <row r="318" spans="2:7" x14ac:dyDescent="0.25">
      <c r="B318" s="63" t="s">
        <v>341</v>
      </c>
      <c r="C318" s="138">
        <v>2024</v>
      </c>
      <c r="D318" s="138">
        <v>2023</v>
      </c>
      <c r="E318" s="138" t="s">
        <v>2544</v>
      </c>
    </row>
    <row r="319" spans="2:7" x14ac:dyDescent="0.25">
      <c r="B319" s="1" t="s">
        <v>419</v>
      </c>
      <c r="C319" s="3">
        <f>'NOTAS (2)'!C194</f>
        <v>1790928.15</v>
      </c>
      <c r="D319" s="3">
        <f>'NOTAS (2)'!E194</f>
        <v>1776812.59</v>
      </c>
      <c r="E319" s="349">
        <f>C319-D319</f>
        <v>14115.559999999823</v>
      </c>
      <c r="F319" s="18"/>
    </row>
    <row r="320" spans="2:7" x14ac:dyDescent="0.25">
      <c r="B320" s="1" t="s">
        <v>420</v>
      </c>
      <c r="C320" s="3">
        <f>'NOTAS (2)'!C195</f>
        <v>1793454.24</v>
      </c>
      <c r="D320" s="3">
        <f>'NOTAS (2)'!E195</f>
        <v>1779318.75</v>
      </c>
      <c r="E320" s="349">
        <f t="shared" ref="E320:E322" si="13">C320-D320</f>
        <v>14135.489999999991</v>
      </c>
      <c r="F320" s="18"/>
    </row>
    <row r="321" spans="2:7" x14ac:dyDescent="0.25">
      <c r="B321" s="1" t="s">
        <v>421</v>
      </c>
      <c r="C321" s="127">
        <f>'NOTAS (2)'!C196</f>
        <v>299492.51</v>
      </c>
      <c r="D321" s="127">
        <f>'NOTAS (2)'!E196</f>
        <v>289143.62</v>
      </c>
      <c r="E321" s="351">
        <f t="shared" si="13"/>
        <v>10348.890000000014</v>
      </c>
      <c r="F321" s="18"/>
    </row>
    <row r="322" spans="2:7" x14ac:dyDescent="0.25">
      <c r="B322" s="6" t="s">
        <v>422</v>
      </c>
      <c r="C322" s="140">
        <f>SUM(C319:C321)</f>
        <v>3883874.8999999994</v>
      </c>
      <c r="D322" s="140">
        <f>SUM(D319:D321)</f>
        <v>3845274.96</v>
      </c>
      <c r="E322" s="353">
        <f t="shared" si="13"/>
        <v>38599.939999999478</v>
      </c>
      <c r="F322" s="84"/>
    </row>
    <row r="325" spans="2:7" x14ac:dyDescent="0.25">
      <c r="B325" s="17" t="s">
        <v>423</v>
      </c>
    </row>
    <row r="327" spans="2:7" x14ac:dyDescent="0.25">
      <c r="B327" s="17" t="s">
        <v>2583</v>
      </c>
      <c r="C327" s="17"/>
      <c r="D327" s="17"/>
      <c r="E327" s="17"/>
    </row>
    <row r="328" spans="2:7" x14ac:dyDescent="0.25">
      <c r="B328" s="17" t="s">
        <v>2584</v>
      </c>
      <c r="C328" s="17"/>
      <c r="D328" s="17"/>
      <c r="E328" s="17"/>
    </row>
    <row r="330" spans="2:7" x14ac:dyDescent="0.25">
      <c r="B330" s="17" t="s">
        <v>341</v>
      </c>
      <c r="C330" s="138">
        <v>2024</v>
      </c>
      <c r="D330" s="138">
        <v>2023</v>
      </c>
      <c r="E330" s="138" t="s">
        <v>2544</v>
      </c>
    </row>
    <row r="331" spans="2:7" x14ac:dyDescent="0.25">
      <c r="B331" s="1" t="s">
        <v>424</v>
      </c>
      <c r="C331" s="82">
        <v>0</v>
      </c>
      <c r="D331" s="3">
        <v>15000</v>
      </c>
      <c r="E331" s="349">
        <f>C331-D331</f>
        <v>-15000</v>
      </c>
    </row>
    <row r="332" spans="2:7" x14ac:dyDescent="0.25">
      <c r="B332" s="1" t="s">
        <v>425</v>
      </c>
      <c r="C332" s="82">
        <f>'NOTAS (2)'!C204</f>
        <v>0</v>
      </c>
      <c r="D332" s="3">
        <f>'[5]Notas 7-21'!C324</f>
        <v>0</v>
      </c>
      <c r="E332" s="355"/>
      <c r="F332" s="68"/>
    </row>
    <row r="333" spans="2:7" x14ac:dyDescent="0.25">
      <c r="B333" s="17" t="s">
        <v>426</v>
      </c>
      <c r="C333" s="92">
        <f>SUM(C331:C332)</f>
        <v>0</v>
      </c>
      <c r="D333" s="92">
        <f>SUM(D331:D332)</f>
        <v>15000</v>
      </c>
      <c r="E333" s="356">
        <f>C333-D333</f>
        <v>-15000</v>
      </c>
    </row>
    <row r="334" spans="2:7" x14ac:dyDescent="0.25">
      <c r="B334" t="s">
        <v>7</v>
      </c>
      <c r="G334" s="18"/>
    </row>
    <row r="335" spans="2:7" x14ac:dyDescent="0.25">
      <c r="G335" s="18"/>
    </row>
    <row r="336" spans="2:7" x14ac:dyDescent="0.25">
      <c r="G336" s="18"/>
    </row>
    <row r="337" spans="2:7" x14ac:dyDescent="0.25">
      <c r="G337" s="18"/>
    </row>
    <row r="338" spans="2:7" x14ac:dyDescent="0.25">
      <c r="G338" s="18"/>
    </row>
    <row r="339" spans="2:7" x14ac:dyDescent="0.25">
      <c r="G339" s="18"/>
    </row>
    <row r="340" spans="2:7" x14ac:dyDescent="0.25">
      <c r="G340" s="18"/>
    </row>
    <row r="341" spans="2:7" x14ac:dyDescent="0.25">
      <c r="G341" s="18"/>
    </row>
    <row r="342" spans="2:7" x14ac:dyDescent="0.25">
      <c r="G342" s="18"/>
    </row>
    <row r="343" spans="2:7" x14ac:dyDescent="0.25">
      <c r="B343" s="17" t="s">
        <v>427</v>
      </c>
    </row>
    <row r="345" spans="2:7" x14ac:dyDescent="0.25">
      <c r="B345" s="17" t="s">
        <v>2585</v>
      </c>
      <c r="C345" s="17"/>
      <c r="D345" s="17"/>
      <c r="E345" s="17"/>
      <c r="F345" s="143"/>
      <c r="G345" t="s">
        <v>7</v>
      </c>
    </row>
    <row r="346" spans="2:7" x14ac:dyDescent="0.25">
      <c r="B346" s="17" t="s">
        <v>2586</v>
      </c>
      <c r="C346" s="17"/>
      <c r="D346" s="17"/>
      <c r="E346" s="17"/>
    </row>
    <row r="347" spans="2:7" x14ac:dyDescent="0.25">
      <c r="B347" s="17" t="s">
        <v>2587</v>
      </c>
      <c r="C347" s="17"/>
      <c r="D347" s="17"/>
      <c r="E347" s="17"/>
    </row>
    <row r="349" spans="2:7" x14ac:dyDescent="0.25">
      <c r="B349" s="17" t="s">
        <v>341</v>
      </c>
      <c r="C349" s="138">
        <v>2024</v>
      </c>
      <c r="D349" s="138">
        <v>2023</v>
      </c>
      <c r="E349" s="138" t="s">
        <v>2544</v>
      </c>
      <c r="F349" s="63"/>
      <c r="G349" s="63"/>
    </row>
    <row r="350" spans="2:7" x14ac:dyDescent="0.25">
      <c r="B350" s="1" t="s">
        <v>428</v>
      </c>
      <c r="C350" s="3">
        <v>0</v>
      </c>
      <c r="D350" s="3">
        <v>2107966.67</v>
      </c>
      <c r="E350" s="363">
        <f>C350-D350</f>
        <v>-2107966.67</v>
      </c>
      <c r="F350" s="132"/>
      <c r="G350" s="130"/>
    </row>
    <row r="351" spans="2:7" x14ac:dyDescent="0.25">
      <c r="B351" s="1" t="s">
        <v>429</v>
      </c>
      <c r="C351" s="3">
        <v>0</v>
      </c>
      <c r="D351" s="3">
        <v>0</v>
      </c>
      <c r="E351" s="363">
        <f t="shared" ref="E351:E359" si="14">C351-D351</f>
        <v>0</v>
      </c>
      <c r="F351" s="132"/>
      <c r="G351" s="130"/>
    </row>
    <row r="352" spans="2:7" x14ac:dyDescent="0.25">
      <c r="B352" s="1" t="s">
        <v>430</v>
      </c>
      <c r="C352" s="3">
        <v>942489.59999999998</v>
      </c>
      <c r="D352" s="3">
        <v>126170</v>
      </c>
      <c r="E352" s="363">
        <f t="shared" si="14"/>
        <v>816319.6</v>
      </c>
      <c r="F352" s="132"/>
      <c r="G352" s="130"/>
    </row>
    <row r="353" spans="2:7" x14ac:dyDescent="0.25">
      <c r="B353" s="1" t="s">
        <v>431</v>
      </c>
      <c r="C353" s="3">
        <v>2132813</v>
      </c>
      <c r="D353" s="3">
        <v>3803598.12</v>
      </c>
      <c r="E353" s="363">
        <f t="shared" si="14"/>
        <v>-1670785.12</v>
      </c>
      <c r="F353" s="132"/>
      <c r="G353" s="130"/>
    </row>
    <row r="354" spans="2:7" x14ac:dyDescent="0.25">
      <c r="B354" s="1" t="s">
        <v>432</v>
      </c>
      <c r="C354" s="3">
        <v>0</v>
      </c>
      <c r="D354" s="3">
        <v>5190.5</v>
      </c>
      <c r="E354" s="363">
        <f t="shared" si="14"/>
        <v>-5190.5</v>
      </c>
      <c r="F354" s="132"/>
      <c r="G354" s="130"/>
    </row>
    <row r="355" spans="2:7" x14ac:dyDescent="0.25">
      <c r="B355" s="1" t="s">
        <v>433</v>
      </c>
      <c r="C355" s="3">
        <v>0</v>
      </c>
      <c r="D355" s="3">
        <v>493989.53</v>
      </c>
      <c r="E355" s="363">
        <f t="shared" si="14"/>
        <v>-493989.53</v>
      </c>
      <c r="F355" s="132"/>
      <c r="G355" s="130"/>
    </row>
    <row r="356" spans="2:7" x14ac:dyDescent="0.25">
      <c r="B356" s="1" t="s">
        <v>434</v>
      </c>
      <c r="C356" s="3">
        <v>0</v>
      </c>
      <c r="D356" s="3">
        <v>0</v>
      </c>
      <c r="E356" s="363">
        <f t="shared" si="14"/>
        <v>0</v>
      </c>
      <c r="F356" s="132"/>
      <c r="G356" s="130"/>
    </row>
    <row r="357" spans="2:7" x14ac:dyDescent="0.25">
      <c r="B357" s="1" t="s">
        <v>435</v>
      </c>
      <c r="C357" s="3">
        <v>1247158.54</v>
      </c>
      <c r="D357" s="3">
        <v>2363262.25</v>
      </c>
      <c r="E357" s="363">
        <f t="shared" si="14"/>
        <v>-1116103.71</v>
      </c>
      <c r="F357" s="132"/>
      <c r="G357" s="130"/>
    </row>
    <row r="358" spans="2:7" x14ac:dyDescent="0.25">
      <c r="B358" s="1" t="s">
        <v>436</v>
      </c>
      <c r="C358" s="3">
        <v>13554690</v>
      </c>
      <c r="D358" s="3">
        <v>9087095.5899999999</v>
      </c>
      <c r="E358" s="363">
        <f t="shared" si="14"/>
        <v>4467594.41</v>
      </c>
      <c r="F358" s="132"/>
      <c r="G358" s="130"/>
    </row>
    <row r="359" spans="2:7" x14ac:dyDescent="0.25">
      <c r="B359" s="1" t="s">
        <v>437</v>
      </c>
      <c r="C359" s="3">
        <v>440200.43</v>
      </c>
      <c r="D359" s="3">
        <v>2323656.5299999998</v>
      </c>
      <c r="E359" s="364">
        <f t="shared" si="14"/>
        <v>-1883456.0999999999</v>
      </c>
      <c r="F359" s="132"/>
      <c r="G359" s="130"/>
    </row>
    <row r="360" spans="2:7" x14ac:dyDescent="0.25">
      <c r="B360" s="6" t="s">
        <v>438</v>
      </c>
      <c r="C360" s="113">
        <f>SUM(C350:C359)</f>
        <v>18317351.57</v>
      </c>
      <c r="D360" s="113">
        <f>SUM(D350:D359)</f>
        <v>20310929.190000001</v>
      </c>
      <c r="E360" s="365">
        <f>C360-D360</f>
        <v>-1993577.620000001</v>
      </c>
      <c r="F360" s="112"/>
      <c r="G360" s="112"/>
    </row>
    <row r="361" spans="2:7" x14ac:dyDescent="0.25">
      <c r="G361" t="s">
        <v>7</v>
      </c>
    </row>
    <row r="362" spans="2:7" x14ac:dyDescent="0.25">
      <c r="B362" s="17" t="s">
        <v>439</v>
      </c>
    </row>
    <row r="363" spans="2:7" x14ac:dyDescent="0.25">
      <c r="B363" s="17"/>
    </row>
    <row r="364" spans="2:7" x14ac:dyDescent="0.25">
      <c r="B364" s="17" t="s">
        <v>2588</v>
      </c>
      <c r="C364" s="17"/>
      <c r="D364" s="17"/>
      <c r="E364" s="17"/>
    </row>
    <row r="365" spans="2:7" x14ac:dyDescent="0.25">
      <c r="B365" s="17" t="s">
        <v>2589</v>
      </c>
      <c r="C365" s="17"/>
      <c r="D365" s="17"/>
      <c r="E365" s="17"/>
    </row>
    <row r="366" spans="2:7" x14ac:dyDescent="0.25">
      <c r="B366" s="17" t="s">
        <v>7</v>
      </c>
      <c r="C366" s="17"/>
      <c r="D366" s="17"/>
      <c r="E366" s="17"/>
    </row>
    <row r="368" spans="2:7" x14ac:dyDescent="0.25">
      <c r="B368" s="17" t="s">
        <v>291</v>
      </c>
      <c r="C368" s="138">
        <v>2024</v>
      </c>
      <c r="D368" s="138">
        <v>2023</v>
      </c>
      <c r="E368" s="138" t="s">
        <v>2544</v>
      </c>
    </row>
    <row r="369" spans="2:7" x14ac:dyDescent="0.25">
      <c r="B369" s="1" t="s">
        <v>440</v>
      </c>
      <c r="C369" s="3">
        <f t="shared" ref="C369" si="15">18651.42+9309.27+6178.8</f>
        <v>34139.49</v>
      </c>
      <c r="D369" s="3">
        <f>'[5]Notas 7-21'!C357</f>
        <v>34139.49</v>
      </c>
      <c r="E369" s="330">
        <f>C369-D369</f>
        <v>0</v>
      </c>
      <c r="F369" s="68"/>
      <c r="G369" s="18"/>
    </row>
    <row r="370" spans="2:7" x14ac:dyDescent="0.25">
      <c r="B370" s="1" t="s">
        <v>441</v>
      </c>
      <c r="C370" s="3">
        <f t="shared" ref="C370" si="16">164344.35+83980.42+573.56</f>
        <v>248898.33000000002</v>
      </c>
      <c r="D370" s="3">
        <f>'[5]Notas 7-21'!C358</f>
        <v>248898.33000000002</v>
      </c>
      <c r="E370" s="330">
        <f t="shared" ref="E370:E373" si="17">C370-D370</f>
        <v>0</v>
      </c>
      <c r="G370" s="18"/>
    </row>
    <row r="371" spans="2:7" x14ac:dyDescent="0.25">
      <c r="B371" s="1" t="s">
        <v>442</v>
      </c>
      <c r="C371" s="3">
        <v>3233.48</v>
      </c>
      <c r="D371" s="3">
        <f>'[5]Notas 7-21'!C359</f>
        <v>3233.48</v>
      </c>
      <c r="E371" s="330">
        <f t="shared" si="17"/>
        <v>0</v>
      </c>
      <c r="F371" s="137" t="s">
        <v>7</v>
      </c>
      <c r="G371" s="18"/>
    </row>
    <row r="372" spans="2:7" x14ac:dyDescent="0.25">
      <c r="B372" s="1" t="s">
        <v>443</v>
      </c>
      <c r="C372" s="3">
        <f t="shared" ref="C372" si="18">168624.26+767+694.95+5805.6</f>
        <v>175891.81000000003</v>
      </c>
      <c r="D372" s="3">
        <f>'[5]Notas 7-21'!C360</f>
        <v>175891.81000000003</v>
      </c>
      <c r="E372" s="330">
        <f t="shared" si="17"/>
        <v>0</v>
      </c>
      <c r="G372" s="18"/>
    </row>
    <row r="373" spans="2:7" x14ac:dyDescent="0.25">
      <c r="B373" s="1" t="s">
        <v>444</v>
      </c>
      <c r="C373" s="127">
        <f t="shared" ref="C373" si="19">1000930.82+861119.52</f>
        <v>1862050.3399999999</v>
      </c>
      <c r="D373" s="3">
        <f>'[5]Notas 7-21'!C361</f>
        <v>1862050.3399999999</v>
      </c>
      <c r="E373" s="366">
        <f t="shared" si="17"/>
        <v>0</v>
      </c>
      <c r="G373" s="18"/>
    </row>
    <row r="374" spans="2:7" x14ac:dyDescent="0.25">
      <c r="B374" s="6" t="s">
        <v>445</v>
      </c>
      <c r="C374" s="95">
        <f>SUM(C369:C373)</f>
        <v>2324213.4499999997</v>
      </c>
      <c r="D374" s="95">
        <f>SUM(D369:D373)</f>
        <v>2324213.4499999997</v>
      </c>
      <c r="E374" s="367">
        <f>C374-D374</f>
        <v>0</v>
      </c>
      <c r="G374" s="84"/>
    </row>
    <row r="376" spans="2:7" x14ac:dyDescent="0.25">
      <c r="D376" s="3"/>
    </row>
    <row r="378" spans="2:7" x14ac:dyDescent="0.25">
      <c r="B378" s="17" t="s">
        <v>446</v>
      </c>
    </row>
    <row r="380" spans="2:7" x14ac:dyDescent="0.25">
      <c r="B380" s="17" t="s">
        <v>2590</v>
      </c>
      <c r="C380" s="17"/>
      <c r="D380" s="17"/>
      <c r="E380" s="17"/>
    </row>
    <row r="381" spans="2:7" x14ac:dyDescent="0.25">
      <c r="B381" s="17" t="s">
        <v>2591</v>
      </c>
      <c r="C381" s="17"/>
      <c r="D381" s="17"/>
      <c r="E381" s="17"/>
    </row>
    <row r="383" spans="2:7" x14ac:dyDescent="0.25">
      <c r="B383" s="17" t="s">
        <v>341</v>
      </c>
      <c r="C383" s="138">
        <v>2024</v>
      </c>
      <c r="D383" s="138">
        <v>2023</v>
      </c>
      <c r="E383" s="138" t="s">
        <v>2544</v>
      </c>
    </row>
    <row r="384" spans="2:7" x14ac:dyDescent="0.25">
      <c r="B384" s="1" t="s">
        <v>447</v>
      </c>
      <c r="C384" s="3">
        <v>1060481.42</v>
      </c>
      <c r="D384" s="3">
        <f>'NOTAS (2)'!E239</f>
        <v>13187.54</v>
      </c>
      <c r="E384" s="349">
        <f>C384-D384</f>
        <v>1047293.8799999999</v>
      </c>
    </row>
    <row r="385" spans="2:7" x14ac:dyDescent="0.25">
      <c r="B385" s="1" t="s">
        <v>448</v>
      </c>
      <c r="C385" s="47">
        <v>0</v>
      </c>
      <c r="D385" s="3">
        <f>'NOTAS (2)'!E240</f>
        <v>0</v>
      </c>
      <c r="E385" s="349">
        <f t="shared" ref="E385:E392" si="20">C385-D385</f>
        <v>0</v>
      </c>
    </row>
    <row r="386" spans="2:7" x14ac:dyDescent="0.25">
      <c r="B386" s="1" t="s">
        <v>449</v>
      </c>
      <c r="C386" s="3">
        <v>0</v>
      </c>
      <c r="D386" s="3">
        <f>'NOTAS (2)'!E241</f>
        <v>0</v>
      </c>
      <c r="E386" s="349">
        <f t="shared" si="20"/>
        <v>0</v>
      </c>
    </row>
    <row r="387" spans="2:7" x14ac:dyDescent="0.25">
      <c r="B387" s="1" t="s">
        <v>450</v>
      </c>
      <c r="C387" s="3">
        <v>1000</v>
      </c>
      <c r="D387" s="3">
        <f>'NOTAS (2)'!E242</f>
        <v>3624.91</v>
      </c>
      <c r="E387" s="349">
        <f t="shared" si="20"/>
        <v>-2624.91</v>
      </c>
    </row>
    <row r="388" spans="2:7" x14ac:dyDescent="0.25">
      <c r="B388" s="1" t="s">
        <v>451</v>
      </c>
      <c r="C388" s="47">
        <v>4500</v>
      </c>
      <c r="D388" s="3">
        <f>'NOTAS (2)'!E243</f>
        <v>327000</v>
      </c>
      <c r="E388" s="349">
        <f t="shared" si="20"/>
        <v>-322500</v>
      </c>
    </row>
    <row r="389" spans="2:7" x14ac:dyDescent="0.25">
      <c r="B389" s="1" t="s">
        <v>452</v>
      </c>
      <c r="C389" s="47">
        <v>546594.68000000005</v>
      </c>
      <c r="D389" s="3">
        <f>'NOTAS (2)'!E244</f>
        <v>439863</v>
      </c>
      <c r="E389" s="349">
        <f t="shared" si="20"/>
        <v>106731.68000000005</v>
      </c>
    </row>
    <row r="390" spans="2:7" x14ac:dyDescent="0.25">
      <c r="B390" s="1" t="s">
        <v>453</v>
      </c>
      <c r="C390" s="3">
        <v>722555.61</v>
      </c>
      <c r="D390" s="3">
        <f>'NOTAS (2)'!E245</f>
        <v>1903582.21</v>
      </c>
      <c r="E390" s="349">
        <f t="shared" si="20"/>
        <v>-1181026.6000000001</v>
      </c>
    </row>
    <row r="391" spans="2:7" x14ac:dyDescent="0.25">
      <c r="B391" s="1" t="s">
        <v>454</v>
      </c>
      <c r="C391" s="3">
        <v>470505.92</v>
      </c>
      <c r="D391" s="3">
        <f>'NOTAS (2)'!E246</f>
        <v>1267594.5</v>
      </c>
      <c r="E391" s="349">
        <f t="shared" si="20"/>
        <v>-797088.58000000007</v>
      </c>
    </row>
    <row r="392" spans="2:7" x14ac:dyDescent="0.25">
      <c r="B392" s="1" t="s">
        <v>455</v>
      </c>
      <c r="C392" s="3">
        <v>0</v>
      </c>
      <c r="D392" s="3">
        <f>'[5]Notas 7-21'!C381</f>
        <v>4068701</v>
      </c>
      <c r="E392" s="349">
        <f t="shared" si="20"/>
        <v>-4068701</v>
      </c>
    </row>
    <row r="393" spans="2:7" x14ac:dyDescent="0.25">
      <c r="B393" s="6" t="s">
        <v>456</v>
      </c>
      <c r="C393" s="95">
        <f>SUM(C384:C392)</f>
        <v>2805637.63</v>
      </c>
      <c r="D393" s="95">
        <f>SUM(D384:D392)</f>
        <v>8023553.1600000001</v>
      </c>
      <c r="E393" s="353">
        <f>C393-D393</f>
        <v>-5217915.53</v>
      </c>
      <c r="F393" s="68"/>
      <c r="G393" s="16"/>
    </row>
    <row r="394" spans="2:7" x14ac:dyDescent="0.25">
      <c r="G394" s="108"/>
    </row>
  </sheetData>
  <pageMargins left="0.7" right="0" top="0.5" bottom="0.75" header="0.3" footer="0.3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7A06-8D14-4EA5-897B-62841C54F933}">
  <dimension ref="A4:L694"/>
  <sheetViews>
    <sheetView workbookViewId="0">
      <selection activeCell="F11" sqref="F11"/>
    </sheetView>
  </sheetViews>
  <sheetFormatPr baseColWidth="10" defaultColWidth="11.42578125" defaultRowHeight="15" x14ac:dyDescent="0.25"/>
  <cols>
    <col min="1" max="1" width="6" customWidth="1"/>
    <col min="2" max="2" width="17.7109375" customWidth="1"/>
    <col min="3" max="3" width="13.28515625" customWidth="1"/>
    <col min="4" max="4" width="17.42578125" customWidth="1"/>
    <col min="5" max="5" width="59.7109375" customWidth="1"/>
    <col min="6" max="6" width="16.28515625" customWidth="1"/>
    <col min="7" max="7" width="16.5703125" customWidth="1"/>
    <col min="8" max="8" width="15.5703125" customWidth="1"/>
    <col min="9" max="9" width="19.7109375" customWidth="1"/>
    <col min="10" max="10" width="22.7109375" customWidth="1"/>
    <col min="12" max="12" width="23.85546875" customWidth="1"/>
  </cols>
  <sheetData>
    <row r="4" spans="1:12" ht="56.25" customHeight="1" x14ac:dyDescent="0.25">
      <c r="B4" s="7"/>
      <c r="F4" s="440"/>
      <c r="G4" s="440"/>
      <c r="H4" s="440"/>
      <c r="I4" s="440"/>
      <c r="J4" s="440"/>
    </row>
    <row r="5" spans="1:12" x14ac:dyDescent="0.25">
      <c r="F5" s="440"/>
      <c r="G5" s="440"/>
      <c r="H5" s="440"/>
      <c r="I5" s="440"/>
      <c r="J5" s="440"/>
    </row>
    <row r="6" spans="1:12" ht="15.75" x14ac:dyDescent="0.25">
      <c r="A6" s="7"/>
      <c r="B6" s="7"/>
      <c r="C6" s="7"/>
      <c r="D6" s="7"/>
      <c r="E6" s="7"/>
      <c r="F6" s="238"/>
      <c r="G6" s="7"/>
      <c r="H6" s="7"/>
      <c r="I6" s="7"/>
      <c r="J6" s="7"/>
      <c r="K6" s="7"/>
      <c r="L6" s="247"/>
    </row>
    <row r="7" spans="1:12" ht="15.75" x14ac:dyDescent="0.25">
      <c r="A7" s="7"/>
      <c r="B7" s="7"/>
      <c r="C7" s="7"/>
      <c r="D7" s="7"/>
      <c r="E7" s="7"/>
      <c r="F7" s="238"/>
      <c r="G7" s="7"/>
      <c r="H7" s="7"/>
      <c r="I7" s="7"/>
      <c r="J7" s="7"/>
      <c r="K7" s="7"/>
      <c r="L7" s="247"/>
    </row>
    <row r="8" spans="1:12" x14ac:dyDescent="0.25">
      <c r="A8" s="7"/>
      <c r="B8" s="7"/>
      <c r="C8" s="7"/>
      <c r="D8" s="7"/>
      <c r="E8" s="7"/>
      <c r="F8" s="440" t="s">
        <v>2370</v>
      </c>
      <c r="G8" s="440"/>
      <c r="H8" s="440"/>
      <c r="I8" s="440"/>
      <c r="J8" s="440"/>
      <c r="K8" s="440"/>
      <c r="L8" s="440"/>
    </row>
    <row r="9" spans="1:12" ht="15" customHeight="1" x14ac:dyDescent="0.25">
      <c r="A9" s="7"/>
      <c r="B9" s="7"/>
      <c r="C9" s="7"/>
      <c r="D9" s="7"/>
      <c r="E9" s="7"/>
      <c r="F9" s="440"/>
      <c r="G9" s="440"/>
      <c r="H9" s="440"/>
      <c r="I9" s="440"/>
      <c r="J9" s="440"/>
      <c r="K9" s="440"/>
      <c r="L9" s="440"/>
    </row>
    <row r="10" spans="1:12" ht="15" customHeight="1" x14ac:dyDescent="0.25">
      <c r="A10" s="7"/>
      <c r="B10" s="7"/>
      <c r="C10" s="7"/>
      <c r="D10" s="7"/>
      <c r="E10" s="7"/>
      <c r="F10" s="442" t="s">
        <v>2514</v>
      </c>
      <c r="G10" s="442"/>
      <c r="H10" s="442"/>
      <c r="I10" s="442"/>
      <c r="J10" s="442"/>
      <c r="K10" s="442"/>
      <c r="L10" s="442"/>
    </row>
    <row r="11" spans="1:12" ht="15.75" x14ac:dyDescent="0.25">
      <c r="A11" s="7"/>
      <c r="B11" s="7"/>
      <c r="C11" s="7"/>
      <c r="D11" s="7"/>
      <c r="E11" s="7"/>
      <c r="F11" s="240"/>
      <c r="G11" s="248"/>
      <c r="H11" s="248"/>
      <c r="I11" s="248"/>
      <c r="J11" s="248"/>
      <c r="K11" s="248"/>
      <c r="L11" s="249"/>
    </row>
    <row r="12" spans="1:12" ht="30" x14ac:dyDescent="0.25">
      <c r="A12" s="7"/>
      <c r="B12" s="241" t="s">
        <v>457</v>
      </c>
      <c r="C12" s="241" t="s">
        <v>458</v>
      </c>
      <c r="D12" s="241" t="s">
        <v>459</v>
      </c>
      <c r="E12" s="241" t="s">
        <v>460</v>
      </c>
      <c r="F12" s="241" t="s">
        <v>461</v>
      </c>
      <c r="G12" s="241" t="s">
        <v>462</v>
      </c>
      <c r="H12" s="241" t="s">
        <v>2371</v>
      </c>
      <c r="I12" s="241" t="s">
        <v>2372</v>
      </c>
      <c r="J12" s="241" t="s">
        <v>463</v>
      </c>
      <c r="K12" s="241" t="s">
        <v>464</v>
      </c>
      <c r="L12" s="241" t="s">
        <v>465</v>
      </c>
    </row>
    <row r="13" spans="1:12" ht="15.75" x14ac:dyDescent="0.25">
      <c r="A13" s="7"/>
      <c r="B13" s="245">
        <v>45292</v>
      </c>
      <c r="C13" s="250">
        <v>45292</v>
      </c>
      <c r="D13" s="269">
        <v>5645</v>
      </c>
      <c r="E13" s="251" t="s">
        <v>466</v>
      </c>
      <c r="F13" s="242" t="s">
        <v>467</v>
      </c>
      <c r="G13" s="242" t="s">
        <v>468</v>
      </c>
      <c r="H13" s="242"/>
      <c r="I13" s="242">
        <v>0</v>
      </c>
      <c r="J13" s="262">
        <v>12</v>
      </c>
      <c r="K13" s="311">
        <v>7710.94</v>
      </c>
      <c r="L13" s="263">
        <f>+K13*J13</f>
        <v>92531.28</v>
      </c>
    </row>
    <row r="14" spans="1:12" ht="15.75" x14ac:dyDescent="0.25">
      <c r="A14" s="7"/>
      <c r="B14" s="245">
        <v>45292</v>
      </c>
      <c r="C14" s="250">
        <v>45292</v>
      </c>
      <c r="D14" s="269">
        <v>7823</v>
      </c>
      <c r="E14" s="251" t="s">
        <v>2515</v>
      </c>
      <c r="F14" s="242" t="s">
        <v>467</v>
      </c>
      <c r="G14" s="242" t="s">
        <v>468</v>
      </c>
      <c r="H14" s="242"/>
      <c r="I14" s="242">
        <v>10</v>
      </c>
      <c r="J14" s="262">
        <v>345</v>
      </c>
      <c r="K14" s="312">
        <v>212.4</v>
      </c>
      <c r="L14" s="263">
        <f t="shared" ref="L14:L77" si="0">+K14*J14</f>
        <v>73278</v>
      </c>
    </row>
    <row r="15" spans="1:12" ht="15.75" x14ac:dyDescent="0.25">
      <c r="A15" s="7"/>
      <c r="B15" s="245">
        <v>45292</v>
      </c>
      <c r="C15" s="250">
        <v>45292</v>
      </c>
      <c r="D15" s="269">
        <v>5922</v>
      </c>
      <c r="E15" s="251" t="s">
        <v>481</v>
      </c>
      <c r="F15" s="242" t="s">
        <v>467</v>
      </c>
      <c r="G15" s="242" t="s">
        <v>468</v>
      </c>
      <c r="H15" s="242"/>
      <c r="I15" s="242">
        <v>0</v>
      </c>
      <c r="J15" s="262">
        <v>11</v>
      </c>
      <c r="K15" s="312">
        <v>2682.06</v>
      </c>
      <c r="L15" s="263">
        <f t="shared" si="0"/>
        <v>29502.66</v>
      </c>
    </row>
    <row r="16" spans="1:12" ht="15.75" x14ac:dyDescent="0.25">
      <c r="A16" s="7"/>
      <c r="B16" s="245">
        <v>45292</v>
      </c>
      <c r="C16" s="250">
        <v>45292</v>
      </c>
      <c r="D16" s="269">
        <v>3302</v>
      </c>
      <c r="E16" s="251" t="s">
        <v>2373</v>
      </c>
      <c r="F16" s="242" t="s">
        <v>467</v>
      </c>
      <c r="G16" s="242" t="s">
        <v>468</v>
      </c>
      <c r="H16" s="242"/>
      <c r="I16" s="242">
        <v>20</v>
      </c>
      <c r="J16" s="262">
        <v>70</v>
      </c>
      <c r="K16" s="312">
        <v>6156</v>
      </c>
      <c r="L16" s="263">
        <f t="shared" si="0"/>
        <v>430920</v>
      </c>
    </row>
    <row r="17" spans="1:12" ht="15.75" x14ac:dyDescent="0.25">
      <c r="A17" s="7"/>
      <c r="B17" s="245">
        <v>45292</v>
      </c>
      <c r="C17" s="250">
        <v>45292</v>
      </c>
      <c r="D17" s="269">
        <v>20966</v>
      </c>
      <c r="E17" s="251" t="s">
        <v>471</v>
      </c>
      <c r="F17" s="242" t="s">
        <v>472</v>
      </c>
      <c r="G17" s="242" t="s">
        <v>468</v>
      </c>
      <c r="H17" s="242"/>
      <c r="I17" s="242">
        <v>0</v>
      </c>
      <c r="J17" s="262">
        <v>30</v>
      </c>
      <c r="K17" s="311">
        <v>191.66</v>
      </c>
      <c r="L17" s="263">
        <f t="shared" si="0"/>
        <v>5749.8</v>
      </c>
    </row>
    <row r="18" spans="1:12" ht="15.75" x14ac:dyDescent="0.25">
      <c r="A18" s="7"/>
      <c r="B18" s="245">
        <v>45292</v>
      </c>
      <c r="C18" s="250">
        <v>45292</v>
      </c>
      <c r="D18" s="269">
        <v>183</v>
      </c>
      <c r="E18" s="251" t="s">
        <v>473</v>
      </c>
      <c r="F18" s="242" t="s">
        <v>470</v>
      </c>
      <c r="G18" s="242" t="s">
        <v>474</v>
      </c>
      <c r="H18" s="242">
        <v>400</v>
      </c>
      <c r="I18" s="242">
        <v>400</v>
      </c>
      <c r="J18" s="262">
        <v>2170</v>
      </c>
      <c r="K18" s="312">
        <v>33</v>
      </c>
      <c r="L18" s="263">
        <f t="shared" si="0"/>
        <v>71610</v>
      </c>
    </row>
    <row r="19" spans="1:12" ht="15.75" x14ac:dyDescent="0.25">
      <c r="A19" s="7"/>
      <c r="B19" s="245">
        <v>45292</v>
      </c>
      <c r="C19" s="250">
        <v>45292</v>
      </c>
      <c r="D19" s="269">
        <v>707</v>
      </c>
      <c r="E19" s="251" t="s">
        <v>475</v>
      </c>
      <c r="F19" s="242" t="s">
        <v>469</v>
      </c>
      <c r="G19" s="242" t="s">
        <v>468</v>
      </c>
      <c r="H19" s="242"/>
      <c r="I19" s="242">
        <v>0</v>
      </c>
      <c r="J19" s="262">
        <v>3</v>
      </c>
      <c r="K19" s="312">
        <v>670</v>
      </c>
      <c r="L19" s="263">
        <f t="shared" si="0"/>
        <v>2010</v>
      </c>
    </row>
    <row r="20" spans="1:12" ht="15.75" x14ac:dyDescent="0.25">
      <c r="A20" s="7"/>
      <c r="B20" s="245">
        <v>45292</v>
      </c>
      <c r="C20" s="250">
        <v>45292</v>
      </c>
      <c r="D20" s="269">
        <v>5904</v>
      </c>
      <c r="E20" s="251" t="s">
        <v>476</v>
      </c>
      <c r="F20" s="242" t="s">
        <v>470</v>
      </c>
      <c r="G20" s="242" t="s">
        <v>468</v>
      </c>
      <c r="H20" s="242"/>
      <c r="I20" s="242">
        <v>0</v>
      </c>
      <c r="J20" s="262">
        <v>100</v>
      </c>
      <c r="K20" s="311">
        <v>8.75</v>
      </c>
      <c r="L20" s="263">
        <f t="shared" si="0"/>
        <v>875</v>
      </c>
    </row>
    <row r="21" spans="1:12" ht="15.75" x14ac:dyDescent="0.25">
      <c r="A21" s="7"/>
      <c r="B21" s="245">
        <v>45292</v>
      </c>
      <c r="C21" s="250">
        <v>45292</v>
      </c>
      <c r="D21" s="269">
        <v>709</v>
      </c>
      <c r="E21" s="251" t="s">
        <v>477</v>
      </c>
      <c r="F21" s="242" t="s">
        <v>470</v>
      </c>
      <c r="G21" s="242" t="s">
        <v>478</v>
      </c>
      <c r="H21" s="242"/>
      <c r="I21" s="242">
        <v>0</v>
      </c>
      <c r="J21" s="262">
        <v>100</v>
      </c>
      <c r="K21" s="311">
        <v>0.34</v>
      </c>
      <c r="L21" s="263">
        <f t="shared" si="0"/>
        <v>34</v>
      </c>
    </row>
    <row r="22" spans="1:12" ht="15.75" x14ac:dyDescent="0.25">
      <c r="A22" s="7"/>
      <c r="B22" s="245">
        <v>45313</v>
      </c>
      <c r="C22" s="250">
        <v>45313</v>
      </c>
      <c r="D22" s="269">
        <v>711</v>
      </c>
      <c r="E22" s="251" t="s">
        <v>2516</v>
      </c>
      <c r="F22" s="242" t="s">
        <v>470</v>
      </c>
      <c r="G22" s="242" t="s">
        <v>474</v>
      </c>
      <c r="H22" s="242">
        <f>300+3700</f>
        <v>4000</v>
      </c>
      <c r="I22" s="242">
        <v>800</v>
      </c>
      <c r="J22" s="262">
        <v>3200</v>
      </c>
      <c r="K22" s="313">
        <v>35</v>
      </c>
      <c r="L22" s="263">
        <f t="shared" si="0"/>
        <v>112000</v>
      </c>
    </row>
    <row r="23" spans="1:12" ht="15.75" x14ac:dyDescent="0.25">
      <c r="A23" s="7"/>
      <c r="B23" s="245">
        <v>45292</v>
      </c>
      <c r="C23" s="250">
        <v>45292</v>
      </c>
      <c r="D23" s="269">
        <v>186</v>
      </c>
      <c r="E23" s="251" t="s">
        <v>479</v>
      </c>
      <c r="F23" s="242" t="s">
        <v>470</v>
      </c>
      <c r="G23" s="242" t="s">
        <v>480</v>
      </c>
      <c r="H23" s="242"/>
      <c r="I23" s="242">
        <v>0</v>
      </c>
      <c r="J23" s="262">
        <v>16</v>
      </c>
      <c r="K23" s="311">
        <v>515</v>
      </c>
      <c r="L23" s="263">
        <f t="shared" si="0"/>
        <v>8240</v>
      </c>
    </row>
    <row r="24" spans="1:12" ht="15.75" x14ac:dyDescent="0.25">
      <c r="A24" s="7"/>
      <c r="B24" s="245">
        <v>45292</v>
      </c>
      <c r="C24" s="250">
        <v>45292</v>
      </c>
      <c r="D24" s="269">
        <v>18201</v>
      </c>
      <c r="E24" s="251" t="s">
        <v>486</v>
      </c>
      <c r="F24" s="242" t="s">
        <v>467</v>
      </c>
      <c r="G24" s="242" t="s">
        <v>468</v>
      </c>
      <c r="H24" s="242"/>
      <c r="I24" s="242">
        <v>0</v>
      </c>
      <c r="J24" s="262">
        <v>39</v>
      </c>
      <c r="K24" s="311">
        <v>35</v>
      </c>
      <c r="L24" s="263">
        <f t="shared" si="0"/>
        <v>1365</v>
      </c>
    </row>
    <row r="25" spans="1:12" ht="15.75" x14ac:dyDescent="0.25">
      <c r="A25" s="7"/>
      <c r="B25" s="245">
        <v>45292</v>
      </c>
      <c r="C25" s="250">
        <v>45292</v>
      </c>
      <c r="D25" s="269">
        <v>7582</v>
      </c>
      <c r="E25" s="251" t="s">
        <v>487</v>
      </c>
      <c r="F25" s="242" t="s">
        <v>467</v>
      </c>
      <c r="G25" s="242" t="s">
        <v>468</v>
      </c>
      <c r="H25" s="242"/>
      <c r="I25" s="242">
        <v>0</v>
      </c>
      <c r="J25" s="262">
        <v>2</v>
      </c>
      <c r="K25" s="311">
        <v>35</v>
      </c>
      <c r="L25" s="263">
        <f t="shared" si="0"/>
        <v>70</v>
      </c>
    </row>
    <row r="26" spans="1:12" ht="15.75" x14ac:dyDescent="0.25">
      <c r="A26" s="7"/>
      <c r="B26" s="245">
        <v>45292</v>
      </c>
      <c r="C26" s="250">
        <v>45292</v>
      </c>
      <c r="D26" s="269">
        <v>20946</v>
      </c>
      <c r="E26" s="251" t="s">
        <v>488</v>
      </c>
      <c r="F26" s="242" t="s">
        <v>467</v>
      </c>
      <c r="G26" s="242" t="s">
        <v>468</v>
      </c>
      <c r="H26" s="242"/>
      <c r="I26" s="242">
        <v>0</v>
      </c>
      <c r="J26" s="262">
        <v>50</v>
      </c>
      <c r="K26" s="312">
        <v>47.2</v>
      </c>
      <c r="L26" s="263">
        <f t="shared" si="0"/>
        <v>2360</v>
      </c>
    </row>
    <row r="27" spans="1:12" ht="15.75" x14ac:dyDescent="0.25">
      <c r="A27" s="7"/>
      <c r="B27" s="245">
        <v>45292</v>
      </c>
      <c r="C27" s="250">
        <v>45292</v>
      </c>
      <c r="D27" s="269">
        <v>3298</v>
      </c>
      <c r="E27" s="251" t="s">
        <v>489</v>
      </c>
      <c r="F27" s="242" t="s">
        <v>467</v>
      </c>
      <c r="G27" s="242" t="s">
        <v>468</v>
      </c>
      <c r="H27" s="242"/>
      <c r="I27" s="242">
        <v>10</v>
      </c>
      <c r="J27" s="262">
        <v>350</v>
      </c>
      <c r="K27" s="312">
        <v>47.2</v>
      </c>
      <c r="L27" s="263">
        <f t="shared" si="0"/>
        <v>16520</v>
      </c>
    </row>
    <row r="28" spans="1:12" ht="15.75" x14ac:dyDescent="0.25">
      <c r="A28" s="7"/>
      <c r="B28" s="245">
        <v>45292</v>
      </c>
      <c r="C28" s="250">
        <v>45292</v>
      </c>
      <c r="D28" s="269">
        <v>729</v>
      </c>
      <c r="E28" s="251" t="s">
        <v>494</v>
      </c>
      <c r="F28" s="242" t="s">
        <v>470</v>
      </c>
      <c r="G28" s="242" t="s">
        <v>474</v>
      </c>
      <c r="H28" s="242"/>
      <c r="I28" s="242">
        <v>0</v>
      </c>
      <c r="J28" s="262">
        <v>58</v>
      </c>
      <c r="K28" s="311">
        <v>1656</v>
      </c>
      <c r="L28" s="263">
        <f t="shared" si="0"/>
        <v>96048</v>
      </c>
    </row>
    <row r="29" spans="1:12" ht="15.75" x14ac:dyDescent="0.25">
      <c r="A29" s="7"/>
      <c r="B29" s="245">
        <v>45292</v>
      </c>
      <c r="C29" s="250">
        <v>45292</v>
      </c>
      <c r="D29" s="269">
        <v>724</v>
      </c>
      <c r="E29" s="251" t="s">
        <v>490</v>
      </c>
      <c r="F29" s="242" t="s">
        <v>467</v>
      </c>
      <c r="G29" s="242" t="s">
        <v>468</v>
      </c>
      <c r="H29" s="242"/>
      <c r="I29" s="242">
        <v>1000</v>
      </c>
      <c r="J29" s="262">
        <v>100</v>
      </c>
      <c r="K29" s="311">
        <v>2.12</v>
      </c>
      <c r="L29" s="263">
        <f t="shared" si="0"/>
        <v>212</v>
      </c>
    </row>
    <row r="30" spans="1:12" ht="15.75" x14ac:dyDescent="0.25">
      <c r="A30" s="7"/>
      <c r="B30" s="245">
        <v>45292</v>
      </c>
      <c r="C30" s="250">
        <v>45292</v>
      </c>
      <c r="D30" s="269">
        <v>718</v>
      </c>
      <c r="E30" s="251" t="s">
        <v>482</v>
      </c>
      <c r="F30" s="242" t="s">
        <v>469</v>
      </c>
      <c r="G30" s="242" t="s">
        <v>483</v>
      </c>
      <c r="H30" s="242"/>
      <c r="I30" s="242">
        <v>29</v>
      </c>
      <c r="J30" s="262">
        <v>121</v>
      </c>
      <c r="K30" s="314">
        <v>125</v>
      </c>
      <c r="L30" s="263">
        <f t="shared" si="0"/>
        <v>15125</v>
      </c>
    </row>
    <row r="31" spans="1:12" ht="15.75" x14ac:dyDescent="0.25">
      <c r="A31" s="7"/>
      <c r="B31" s="245">
        <v>45292</v>
      </c>
      <c r="C31" s="250">
        <v>45292</v>
      </c>
      <c r="D31" s="269">
        <v>5297</v>
      </c>
      <c r="E31" s="251" t="s">
        <v>484</v>
      </c>
      <c r="F31" s="242" t="s">
        <v>469</v>
      </c>
      <c r="G31" s="242" t="s">
        <v>483</v>
      </c>
      <c r="H31" s="242"/>
      <c r="I31" s="242">
        <v>50</v>
      </c>
      <c r="J31" s="262">
        <v>250</v>
      </c>
      <c r="K31" s="312">
        <v>2.09</v>
      </c>
      <c r="L31" s="263">
        <f t="shared" si="0"/>
        <v>522.5</v>
      </c>
    </row>
    <row r="32" spans="1:12" ht="15.75" x14ac:dyDescent="0.25">
      <c r="A32" s="7"/>
      <c r="B32" s="245">
        <v>45292</v>
      </c>
      <c r="C32" s="250">
        <v>45292</v>
      </c>
      <c r="D32" s="269">
        <v>723</v>
      </c>
      <c r="E32" s="251" t="s">
        <v>485</v>
      </c>
      <c r="F32" s="242" t="s">
        <v>469</v>
      </c>
      <c r="G32" s="242" t="s">
        <v>483</v>
      </c>
      <c r="H32" s="242"/>
      <c r="I32" s="242">
        <v>9</v>
      </c>
      <c r="J32" s="262">
        <v>7</v>
      </c>
      <c r="K32" s="311">
        <v>430</v>
      </c>
      <c r="L32" s="263">
        <f t="shared" si="0"/>
        <v>3010</v>
      </c>
    </row>
    <row r="33" spans="1:12" ht="15.75" x14ac:dyDescent="0.25">
      <c r="A33" s="7"/>
      <c r="B33" s="245">
        <v>45292</v>
      </c>
      <c r="C33" s="250">
        <v>45292</v>
      </c>
      <c r="D33" s="269">
        <v>10663</v>
      </c>
      <c r="E33" s="251" t="s">
        <v>491</v>
      </c>
      <c r="F33" s="242" t="s">
        <v>467</v>
      </c>
      <c r="G33" s="242" t="s">
        <v>468</v>
      </c>
      <c r="H33" s="242"/>
      <c r="I33" s="242">
        <v>0</v>
      </c>
      <c r="J33" s="262">
        <v>100</v>
      </c>
      <c r="K33" s="311">
        <v>1.91</v>
      </c>
      <c r="L33" s="263">
        <f t="shared" si="0"/>
        <v>191</v>
      </c>
    </row>
    <row r="34" spans="1:12" ht="15.75" x14ac:dyDescent="0.25">
      <c r="A34" s="7"/>
      <c r="B34" s="245">
        <v>45292</v>
      </c>
      <c r="C34" s="250">
        <v>45292</v>
      </c>
      <c r="D34" s="269">
        <v>727</v>
      </c>
      <c r="E34" s="251" t="s">
        <v>492</v>
      </c>
      <c r="F34" s="242" t="s">
        <v>467</v>
      </c>
      <c r="G34" s="242" t="s">
        <v>468</v>
      </c>
      <c r="H34" s="242"/>
      <c r="I34" s="242">
        <v>0</v>
      </c>
      <c r="J34" s="262">
        <v>4200</v>
      </c>
      <c r="K34" s="314">
        <v>1.37</v>
      </c>
      <c r="L34" s="263">
        <f t="shared" si="0"/>
        <v>5754</v>
      </c>
    </row>
    <row r="35" spans="1:12" ht="15.75" x14ac:dyDescent="0.25">
      <c r="A35" s="7"/>
      <c r="B35" s="245">
        <v>45292</v>
      </c>
      <c r="C35" s="250">
        <v>45292</v>
      </c>
      <c r="D35" s="269">
        <v>3782</v>
      </c>
      <c r="E35" s="251" t="s">
        <v>2517</v>
      </c>
      <c r="F35" s="242" t="s">
        <v>467</v>
      </c>
      <c r="G35" s="242" t="s">
        <v>468</v>
      </c>
      <c r="H35" s="242"/>
      <c r="I35" s="242">
        <v>0</v>
      </c>
      <c r="J35" s="262">
        <v>200</v>
      </c>
      <c r="K35" s="312">
        <v>7003.3</v>
      </c>
      <c r="L35" s="263">
        <f t="shared" si="0"/>
        <v>1400660</v>
      </c>
    </row>
    <row r="36" spans="1:12" ht="15.75" x14ac:dyDescent="0.25">
      <c r="A36" s="7"/>
      <c r="B36" s="245">
        <v>45292</v>
      </c>
      <c r="C36" s="250">
        <v>45292</v>
      </c>
      <c r="D36" s="269">
        <v>10264</v>
      </c>
      <c r="E36" s="251" t="s">
        <v>493</v>
      </c>
      <c r="F36" s="242" t="s">
        <v>467</v>
      </c>
      <c r="G36" s="242" t="s">
        <v>468</v>
      </c>
      <c r="H36" s="242"/>
      <c r="I36" s="242">
        <v>0</v>
      </c>
      <c r="J36" s="262">
        <v>3</v>
      </c>
      <c r="K36" s="312">
        <v>21.18</v>
      </c>
      <c r="L36" s="263">
        <f t="shared" si="0"/>
        <v>63.54</v>
      </c>
    </row>
    <row r="37" spans="1:12" ht="15.75" x14ac:dyDescent="0.25">
      <c r="A37" s="7"/>
      <c r="B37" s="245">
        <v>45292</v>
      </c>
      <c r="C37" s="250">
        <v>45292</v>
      </c>
      <c r="D37" s="269">
        <v>885</v>
      </c>
      <c r="E37" s="251" t="s">
        <v>921</v>
      </c>
      <c r="F37" s="242" t="s">
        <v>469</v>
      </c>
      <c r="G37" s="242" t="s">
        <v>480</v>
      </c>
      <c r="H37" s="242">
        <v>1500</v>
      </c>
      <c r="I37" s="242">
        <v>1452</v>
      </c>
      <c r="J37" s="262">
        <v>1302</v>
      </c>
      <c r="K37" s="312">
        <v>127</v>
      </c>
      <c r="L37" s="263">
        <f t="shared" si="0"/>
        <v>165354</v>
      </c>
    </row>
    <row r="38" spans="1:12" ht="15.75" x14ac:dyDescent="0.25">
      <c r="A38" s="7"/>
      <c r="B38" s="245">
        <v>45292</v>
      </c>
      <c r="C38" s="250">
        <v>45292</v>
      </c>
      <c r="D38" s="269">
        <v>733</v>
      </c>
      <c r="E38" s="251" t="s">
        <v>496</v>
      </c>
      <c r="F38" s="242" t="s">
        <v>467</v>
      </c>
      <c r="G38" s="242" t="s">
        <v>497</v>
      </c>
      <c r="H38" s="242"/>
      <c r="I38" s="242">
        <v>25</v>
      </c>
      <c r="J38" s="262">
        <v>75</v>
      </c>
      <c r="K38" s="311">
        <v>90.59</v>
      </c>
      <c r="L38" s="263">
        <f t="shared" si="0"/>
        <v>6794.25</v>
      </c>
    </row>
    <row r="39" spans="1:12" ht="15.75" x14ac:dyDescent="0.25">
      <c r="A39" s="7"/>
      <c r="B39" s="245">
        <v>45292</v>
      </c>
      <c r="C39" s="250">
        <v>45292</v>
      </c>
      <c r="D39" s="269">
        <v>734</v>
      </c>
      <c r="E39" s="251" t="s">
        <v>498</v>
      </c>
      <c r="F39" s="242" t="s">
        <v>467</v>
      </c>
      <c r="G39" s="242" t="s">
        <v>499</v>
      </c>
      <c r="H39" s="242"/>
      <c r="I39" s="242">
        <v>12</v>
      </c>
      <c r="J39" s="262">
        <v>48</v>
      </c>
      <c r="K39" s="311">
        <v>110</v>
      </c>
      <c r="L39" s="263">
        <f t="shared" si="0"/>
        <v>5280</v>
      </c>
    </row>
    <row r="40" spans="1:12" ht="15.75" x14ac:dyDescent="0.25">
      <c r="A40" s="7"/>
      <c r="B40" s="245">
        <v>45292</v>
      </c>
      <c r="C40" s="250">
        <v>45292</v>
      </c>
      <c r="D40" s="269">
        <v>735</v>
      </c>
      <c r="E40" s="251" t="s">
        <v>500</v>
      </c>
      <c r="F40" s="242" t="s">
        <v>467</v>
      </c>
      <c r="G40" s="242" t="s">
        <v>499</v>
      </c>
      <c r="H40" s="242"/>
      <c r="I40" s="242">
        <v>6</v>
      </c>
      <c r="J40" s="262">
        <v>24</v>
      </c>
      <c r="K40" s="312">
        <v>145</v>
      </c>
      <c r="L40" s="263">
        <f t="shared" si="0"/>
        <v>3480</v>
      </c>
    </row>
    <row r="41" spans="1:12" ht="15.75" x14ac:dyDescent="0.25">
      <c r="A41" s="7"/>
      <c r="B41" s="245">
        <v>45292</v>
      </c>
      <c r="C41" s="250">
        <v>45292</v>
      </c>
      <c r="D41" s="269">
        <v>20040</v>
      </c>
      <c r="E41" s="251" t="s">
        <v>507</v>
      </c>
      <c r="F41" s="242" t="s">
        <v>467</v>
      </c>
      <c r="G41" s="242" t="s">
        <v>508</v>
      </c>
      <c r="H41" s="242"/>
      <c r="I41" s="242">
        <v>0</v>
      </c>
      <c r="J41" s="262">
        <v>12</v>
      </c>
      <c r="K41" s="311">
        <v>4250</v>
      </c>
      <c r="L41" s="263">
        <f t="shared" si="0"/>
        <v>51000</v>
      </c>
    </row>
    <row r="42" spans="1:12" ht="15.75" x14ac:dyDescent="0.25">
      <c r="A42" s="7"/>
      <c r="B42" s="245">
        <v>45292</v>
      </c>
      <c r="C42" s="245">
        <v>45292</v>
      </c>
      <c r="D42" s="269">
        <v>738</v>
      </c>
      <c r="E42" s="251" t="s">
        <v>503</v>
      </c>
      <c r="F42" s="242" t="s">
        <v>470</v>
      </c>
      <c r="G42" s="242" t="s">
        <v>474</v>
      </c>
      <c r="H42" s="242"/>
      <c r="I42" s="242">
        <v>0</v>
      </c>
      <c r="J42" s="262">
        <v>320</v>
      </c>
      <c r="K42" s="312">
        <v>11</v>
      </c>
      <c r="L42" s="263">
        <f t="shared" si="0"/>
        <v>3520</v>
      </c>
    </row>
    <row r="43" spans="1:12" ht="15.75" x14ac:dyDescent="0.25">
      <c r="A43" s="7"/>
      <c r="B43" s="245">
        <v>45292</v>
      </c>
      <c r="C43" s="245">
        <v>45292</v>
      </c>
      <c r="D43" s="269">
        <v>732</v>
      </c>
      <c r="E43" s="251" t="s">
        <v>495</v>
      </c>
      <c r="F43" s="242" t="s">
        <v>469</v>
      </c>
      <c r="G43" s="242" t="s">
        <v>483</v>
      </c>
      <c r="H43" s="242"/>
      <c r="I43" s="242">
        <v>17</v>
      </c>
      <c r="J43" s="262">
        <v>70</v>
      </c>
      <c r="K43" s="312">
        <v>944</v>
      </c>
      <c r="L43" s="263">
        <f t="shared" si="0"/>
        <v>66080</v>
      </c>
    </row>
    <row r="44" spans="1:12" ht="15.75" x14ac:dyDescent="0.25">
      <c r="A44" s="7"/>
      <c r="B44" s="245">
        <v>45292</v>
      </c>
      <c r="C44" s="245">
        <v>45292</v>
      </c>
      <c r="D44" s="269">
        <v>750</v>
      </c>
      <c r="E44" s="251" t="s">
        <v>511</v>
      </c>
      <c r="F44" s="242" t="s">
        <v>467</v>
      </c>
      <c r="G44" s="242" t="s">
        <v>468</v>
      </c>
      <c r="H44" s="242"/>
      <c r="I44" s="242">
        <v>0</v>
      </c>
      <c r="J44" s="262">
        <v>15</v>
      </c>
      <c r="K44" s="312">
        <v>2194.8000000000002</v>
      </c>
      <c r="L44" s="263">
        <f t="shared" si="0"/>
        <v>32922</v>
      </c>
    </row>
    <row r="45" spans="1:12" ht="15.75" x14ac:dyDescent="0.25">
      <c r="A45" s="7"/>
      <c r="B45" s="245">
        <v>45292</v>
      </c>
      <c r="C45" s="245">
        <v>45292</v>
      </c>
      <c r="D45" s="269">
        <v>760</v>
      </c>
      <c r="E45" s="251" t="s">
        <v>516</v>
      </c>
      <c r="F45" s="242" t="s">
        <v>467</v>
      </c>
      <c r="G45" s="242" t="s">
        <v>468</v>
      </c>
      <c r="H45" s="242"/>
      <c r="I45" s="242">
        <v>0</v>
      </c>
      <c r="J45" s="262">
        <v>1900</v>
      </c>
      <c r="K45" s="312">
        <v>0.77</v>
      </c>
      <c r="L45" s="263">
        <f t="shared" si="0"/>
        <v>1463</v>
      </c>
    </row>
    <row r="46" spans="1:12" ht="15.75" x14ac:dyDescent="0.25">
      <c r="A46" s="7"/>
      <c r="B46" s="245">
        <v>45292</v>
      </c>
      <c r="C46" s="245">
        <v>45292</v>
      </c>
      <c r="D46" s="269">
        <v>761</v>
      </c>
      <c r="E46" s="251" t="s">
        <v>1966</v>
      </c>
      <c r="F46" s="242" t="s">
        <v>467</v>
      </c>
      <c r="G46" s="242" t="s">
        <v>468</v>
      </c>
      <c r="H46" s="242">
        <v>640</v>
      </c>
      <c r="I46" s="242">
        <v>336</v>
      </c>
      <c r="J46" s="262">
        <v>1472</v>
      </c>
      <c r="K46" s="311">
        <v>593.78</v>
      </c>
      <c r="L46" s="263">
        <f t="shared" si="0"/>
        <v>874044.15999999992</v>
      </c>
    </row>
    <row r="47" spans="1:12" ht="15.75" x14ac:dyDescent="0.25">
      <c r="A47" s="7"/>
      <c r="B47" s="245">
        <v>45292</v>
      </c>
      <c r="C47" s="245">
        <v>45292</v>
      </c>
      <c r="D47" s="269">
        <v>737</v>
      </c>
      <c r="E47" s="251" t="s">
        <v>501</v>
      </c>
      <c r="F47" s="242" t="s">
        <v>502</v>
      </c>
      <c r="G47" s="242" t="s">
        <v>478</v>
      </c>
      <c r="H47" s="242"/>
      <c r="I47" s="242">
        <v>120</v>
      </c>
      <c r="J47" s="262">
        <v>60</v>
      </c>
      <c r="K47" s="314">
        <v>15</v>
      </c>
      <c r="L47" s="263">
        <f t="shared" si="0"/>
        <v>900</v>
      </c>
    </row>
    <row r="48" spans="1:12" ht="15.75" x14ac:dyDescent="0.25">
      <c r="A48" s="7"/>
      <c r="B48" s="245">
        <v>45292</v>
      </c>
      <c r="C48" s="245">
        <v>45292</v>
      </c>
      <c r="D48" s="269">
        <v>739</v>
      </c>
      <c r="E48" s="251" t="s">
        <v>504</v>
      </c>
      <c r="F48" s="242" t="s">
        <v>470</v>
      </c>
      <c r="G48" s="242" t="s">
        <v>474</v>
      </c>
      <c r="H48" s="242"/>
      <c r="I48" s="242">
        <v>0</v>
      </c>
      <c r="J48" s="262">
        <v>100</v>
      </c>
      <c r="K48" s="313">
        <v>64</v>
      </c>
      <c r="L48" s="263">
        <f t="shared" si="0"/>
        <v>6400</v>
      </c>
    </row>
    <row r="49" spans="1:12" ht="15.75" x14ac:dyDescent="0.25">
      <c r="A49" s="7"/>
      <c r="B49" s="245">
        <v>45292</v>
      </c>
      <c r="C49" s="245">
        <v>45292</v>
      </c>
      <c r="D49" s="269">
        <v>741</v>
      </c>
      <c r="E49" s="251" t="s">
        <v>505</v>
      </c>
      <c r="F49" s="242" t="s">
        <v>470</v>
      </c>
      <c r="G49" s="242" t="s">
        <v>474</v>
      </c>
      <c r="H49" s="242"/>
      <c r="I49" s="242">
        <v>0</v>
      </c>
      <c r="J49" s="262">
        <v>100</v>
      </c>
      <c r="K49" s="312">
        <v>31.8</v>
      </c>
      <c r="L49" s="263">
        <f t="shared" si="0"/>
        <v>3180</v>
      </c>
    </row>
    <row r="50" spans="1:12" ht="15.75" x14ac:dyDescent="0.25">
      <c r="A50" s="7"/>
      <c r="B50" s="245">
        <v>45292</v>
      </c>
      <c r="C50" s="245">
        <v>45292</v>
      </c>
      <c r="D50" s="269">
        <v>747</v>
      </c>
      <c r="E50" s="251" t="s">
        <v>506</v>
      </c>
      <c r="F50" s="242" t="s">
        <v>470</v>
      </c>
      <c r="G50" s="242" t="s">
        <v>478</v>
      </c>
      <c r="H50" s="242"/>
      <c r="I50" s="242">
        <v>0</v>
      </c>
      <c r="J50" s="262">
        <v>200</v>
      </c>
      <c r="K50" s="313">
        <v>55</v>
      </c>
      <c r="L50" s="263">
        <f t="shared" si="0"/>
        <v>11000</v>
      </c>
    </row>
    <row r="51" spans="1:12" ht="15.75" x14ac:dyDescent="0.25">
      <c r="A51" s="7"/>
      <c r="B51" s="245">
        <v>45292</v>
      </c>
      <c r="C51" s="245">
        <v>45292</v>
      </c>
      <c r="D51" s="269">
        <v>748</v>
      </c>
      <c r="E51" s="251" t="s">
        <v>509</v>
      </c>
      <c r="F51" s="242" t="s">
        <v>470</v>
      </c>
      <c r="G51" s="242" t="s">
        <v>474</v>
      </c>
      <c r="H51" s="242"/>
      <c r="I51" s="242">
        <v>0</v>
      </c>
      <c r="J51" s="262">
        <v>600</v>
      </c>
      <c r="K51" s="312">
        <v>36</v>
      </c>
      <c r="L51" s="263">
        <f t="shared" si="0"/>
        <v>21600</v>
      </c>
    </row>
    <row r="52" spans="1:12" ht="15.75" x14ac:dyDescent="0.25">
      <c r="A52" s="7"/>
      <c r="B52" s="245">
        <v>45292</v>
      </c>
      <c r="C52" s="245">
        <v>45292</v>
      </c>
      <c r="D52" s="269">
        <v>15981</v>
      </c>
      <c r="E52" s="251" t="s">
        <v>510</v>
      </c>
      <c r="F52" s="242" t="s">
        <v>470</v>
      </c>
      <c r="G52" s="242" t="s">
        <v>468</v>
      </c>
      <c r="H52" s="242"/>
      <c r="I52" s="242">
        <v>0</v>
      </c>
      <c r="J52" s="262">
        <v>4</v>
      </c>
      <c r="K52" s="271">
        <v>603.75</v>
      </c>
      <c r="L52" s="263">
        <f t="shared" si="0"/>
        <v>2415</v>
      </c>
    </row>
    <row r="53" spans="1:12" ht="15.75" x14ac:dyDescent="0.25">
      <c r="A53" s="7"/>
      <c r="B53" s="245">
        <v>45292</v>
      </c>
      <c r="C53" s="245">
        <v>45292</v>
      </c>
      <c r="D53" s="269">
        <v>19394</v>
      </c>
      <c r="E53" s="251" t="s">
        <v>512</v>
      </c>
      <c r="F53" s="242" t="s">
        <v>470</v>
      </c>
      <c r="G53" s="242" t="s">
        <v>478</v>
      </c>
      <c r="H53" s="242"/>
      <c r="I53" s="242">
        <v>0</v>
      </c>
      <c r="J53" s="262">
        <v>550</v>
      </c>
      <c r="K53" s="311">
        <v>60</v>
      </c>
      <c r="L53" s="263">
        <f t="shared" si="0"/>
        <v>33000</v>
      </c>
    </row>
    <row r="54" spans="1:12" ht="15.75" x14ac:dyDescent="0.25">
      <c r="A54" s="7"/>
      <c r="B54" s="245">
        <v>45292</v>
      </c>
      <c r="C54" s="245">
        <v>45292</v>
      </c>
      <c r="D54" s="269">
        <v>8874</v>
      </c>
      <c r="E54" s="251" t="s">
        <v>517</v>
      </c>
      <c r="F54" s="242" t="s">
        <v>467</v>
      </c>
      <c r="G54" s="242" t="s">
        <v>468</v>
      </c>
      <c r="H54" s="242"/>
      <c r="I54" s="242">
        <v>0</v>
      </c>
      <c r="J54" s="262">
        <v>36</v>
      </c>
      <c r="K54" s="312">
        <v>1814.25</v>
      </c>
      <c r="L54" s="263">
        <f t="shared" si="0"/>
        <v>65313</v>
      </c>
    </row>
    <row r="55" spans="1:12" ht="15.75" x14ac:dyDescent="0.25">
      <c r="A55" s="7"/>
      <c r="B55" s="245">
        <v>45292</v>
      </c>
      <c r="C55" s="245">
        <v>45292</v>
      </c>
      <c r="D55" s="269">
        <v>758</v>
      </c>
      <c r="E55" s="251" t="s">
        <v>513</v>
      </c>
      <c r="F55" s="242" t="s">
        <v>470</v>
      </c>
      <c r="G55" s="242" t="s">
        <v>474</v>
      </c>
      <c r="H55" s="242"/>
      <c r="I55" s="242">
        <v>0</v>
      </c>
      <c r="J55" s="262">
        <v>20</v>
      </c>
      <c r="K55" s="312">
        <v>144</v>
      </c>
      <c r="L55" s="263">
        <f t="shared" si="0"/>
        <v>2880</v>
      </c>
    </row>
    <row r="56" spans="1:12" ht="15.75" x14ac:dyDescent="0.25">
      <c r="A56" s="7"/>
      <c r="B56" s="245">
        <v>45292</v>
      </c>
      <c r="C56" s="245">
        <v>45292</v>
      </c>
      <c r="D56" s="269">
        <v>759</v>
      </c>
      <c r="E56" s="251" t="s">
        <v>514</v>
      </c>
      <c r="F56" s="242" t="s">
        <v>470</v>
      </c>
      <c r="G56" s="242" t="s">
        <v>474</v>
      </c>
      <c r="H56" s="242"/>
      <c r="I56" s="242">
        <v>100</v>
      </c>
      <c r="J56" s="262">
        <v>600</v>
      </c>
      <c r="K56" s="311">
        <v>31.2</v>
      </c>
      <c r="L56" s="263">
        <f t="shared" si="0"/>
        <v>18720</v>
      </c>
    </row>
    <row r="57" spans="1:12" ht="15.75" x14ac:dyDescent="0.25">
      <c r="A57" s="7"/>
      <c r="B57" s="245">
        <v>45292</v>
      </c>
      <c r="C57" s="245">
        <v>45292</v>
      </c>
      <c r="D57" s="269">
        <v>763</v>
      </c>
      <c r="E57" s="251" t="s">
        <v>518</v>
      </c>
      <c r="F57" s="242" t="s">
        <v>467</v>
      </c>
      <c r="G57" s="242" t="s">
        <v>468</v>
      </c>
      <c r="H57" s="242"/>
      <c r="I57" s="242">
        <v>25</v>
      </c>
      <c r="J57" s="262">
        <v>717</v>
      </c>
      <c r="K57" s="311">
        <v>326.32</v>
      </c>
      <c r="L57" s="263">
        <f t="shared" si="0"/>
        <v>233971.44</v>
      </c>
    </row>
    <row r="58" spans="1:12" ht="15.75" x14ac:dyDescent="0.25">
      <c r="A58" s="7"/>
      <c r="B58" s="245">
        <v>45292</v>
      </c>
      <c r="C58" s="245">
        <v>45292</v>
      </c>
      <c r="D58" s="269">
        <v>17929</v>
      </c>
      <c r="E58" s="251" t="s">
        <v>519</v>
      </c>
      <c r="F58" s="242" t="s">
        <v>467</v>
      </c>
      <c r="G58" s="242" t="s">
        <v>468</v>
      </c>
      <c r="H58" s="242"/>
      <c r="I58" s="242">
        <v>475</v>
      </c>
      <c r="J58" s="262">
        <v>50</v>
      </c>
      <c r="K58" s="311">
        <v>46.019999999999996</v>
      </c>
      <c r="L58" s="263">
        <f t="shared" si="0"/>
        <v>2301</v>
      </c>
    </row>
    <row r="59" spans="1:12" ht="15.75" x14ac:dyDescent="0.25">
      <c r="A59" s="7"/>
      <c r="B59" s="245">
        <v>45292</v>
      </c>
      <c r="C59" s="245">
        <v>45292</v>
      </c>
      <c r="D59" s="269">
        <v>797</v>
      </c>
      <c r="E59" s="251" t="s">
        <v>520</v>
      </c>
      <c r="F59" s="242" t="s">
        <v>467</v>
      </c>
      <c r="G59" s="242" t="s">
        <v>468</v>
      </c>
      <c r="H59" s="242"/>
      <c r="I59" s="242">
        <v>15</v>
      </c>
      <c r="J59" s="262">
        <v>81</v>
      </c>
      <c r="K59" s="311">
        <v>956.92000000000007</v>
      </c>
      <c r="L59" s="263">
        <f t="shared" si="0"/>
        <v>77510.52</v>
      </c>
    </row>
    <row r="60" spans="1:12" ht="15.75" x14ac:dyDescent="0.25">
      <c r="A60" s="7"/>
      <c r="B60" s="245">
        <v>45292</v>
      </c>
      <c r="C60" s="245">
        <v>45292</v>
      </c>
      <c r="D60" s="269">
        <v>775</v>
      </c>
      <c r="E60" s="251" t="s">
        <v>531</v>
      </c>
      <c r="F60" s="242" t="s">
        <v>470</v>
      </c>
      <c r="G60" s="242" t="s">
        <v>474</v>
      </c>
      <c r="H60" s="242"/>
      <c r="I60" s="242">
        <v>0</v>
      </c>
      <c r="J60" s="262">
        <v>1200</v>
      </c>
      <c r="K60" s="314">
        <v>70</v>
      </c>
      <c r="L60" s="263">
        <f t="shared" si="0"/>
        <v>84000</v>
      </c>
    </row>
    <row r="61" spans="1:12" ht="15.75" x14ac:dyDescent="0.25">
      <c r="A61" s="7"/>
      <c r="B61" s="245">
        <v>45292</v>
      </c>
      <c r="C61" s="245">
        <v>45292</v>
      </c>
      <c r="D61" s="269">
        <v>5963</v>
      </c>
      <c r="E61" s="251" t="s">
        <v>537</v>
      </c>
      <c r="F61" s="242" t="s">
        <v>470</v>
      </c>
      <c r="G61" s="242" t="s">
        <v>474</v>
      </c>
      <c r="H61" s="242"/>
      <c r="I61" s="242">
        <v>0</v>
      </c>
      <c r="J61" s="262">
        <v>100</v>
      </c>
      <c r="K61" s="313">
        <v>12</v>
      </c>
      <c r="L61" s="263">
        <f t="shared" si="0"/>
        <v>1200</v>
      </c>
    </row>
    <row r="62" spans="1:12" ht="15.75" x14ac:dyDescent="0.25">
      <c r="A62" s="7"/>
      <c r="B62" s="245">
        <v>45292</v>
      </c>
      <c r="C62" s="245">
        <v>45292</v>
      </c>
      <c r="D62" s="269">
        <v>11838</v>
      </c>
      <c r="E62" s="251" t="s">
        <v>538</v>
      </c>
      <c r="F62" s="242" t="s">
        <v>470</v>
      </c>
      <c r="G62" s="242" t="s">
        <v>478</v>
      </c>
      <c r="H62" s="242"/>
      <c r="I62" s="242">
        <v>0</v>
      </c>
      <c r="J62" s="262">
        <v>200</v>
      </c>
      <c r="K62" s="314">
        <v>0.96</v>
      </c>
      <c r="L62" s="263">
        <f t="shared" si="0"/>
        <v>192</v>
      </c>
    </row>
    <row r="63" spans="1:12" ht="15.75" x14ac:dyDescent="0.25">
      <c r="A63" s="7"/>
      <c r="B63" s="245">
        <v>45292</v>
      </c>
      <c r="C63" s="245">
        <v>45292</v>
      </c>
      <c r="D63" s="269">
        <v>10272</v>
      </c>
      <c r="E63" s="251" t="s">
        <v>557</v>
      </c>
      <c r="F63" s="242" t="s">
        <v>470</v>
      </c>
      <c r="G63" s="242" t="s">
        <v>474</v>
      </c>
      <c r="H63" s="242">
        <v>600</v>
      </c>
      <c r="I63" s="242">
        <v>120</v>
      </c>
      <c r="J63" s="262">
        <v>1470</v>
      </c>
      <c r="K63" s="312">
        <v>166.26</v>
      </c>
      <c r="L63" s="263">
        <f t="shared" si="0"/>
        <v>244402.19999999998</v>
      </c>
    </row>
    <row r="64" spans="1:12" ht="15.75" x14ac:dyDescent="0.25">
      <c r="A64" s="7"/>
      <c r="B64" s="245">
        <v>45292</v>
      </c>
      <c r="C64" s="245">
        <v>45292</v>
      </c>
      <c r="D64" s="269">
        <v>1068</v>
      </c>
      <c r="E64" s="251" t="s">
        <v>515</v>
      </c>
      <c r="F64" s="242" t="s">
        <v>469</v>
      </c>
      <c r="G64" s="242" t="s">
        <v>468</v>
      </c>
      <c r="H64" s="242"/>
      <c r="I64" s="242">
        <v>8</v>
      </c>
      <c r="J64" s="262">
        <v>14</v>
      </c>
      <c r="K64" s="311">
        <v>3727.5</v>
      </c>
      <c r="L64" s="263">
        <f t="shared" si="0"/>
        <v>52185</v>
      </c>
    </row>
    <row r="65" spans="1:12" ht="15.75" x14ac:dyDescent="0.25">
      <c r="A65" s="7"/>
      <c r="B65" s="245">
        <v>45292</v>
      </c>
      <c r="C65" s="245">
        <v>45292</v>
      </c>
      <c r="D65" s="269">
        <v>767</v>
      </c>
      <c r="E65" s="251" t="s">
        <v>521</v>
      </c>
      <c r="F65" s="242" t="s">
        <v>467</v>
      </c>
      <c r="G65" s="242" t="s">
        <v>468</v>
      </c>
      <c r="H65" s="242"/>
      <c r="I65" s="242">
        <v>0</v>
      </c>
      <c r="J65" s="262">
        <v>399</v>
      </c>
      <c r="K65" s="311">
        <v>65.19</v>
      </c>
      <c r="L65" s="263">
        <f t="shared" si="0"/>
        <v>26010.809999999998</v>
      </c>
    </row>
    <row r="66" spans="1:12" ht="15.75" x14ac:dyDescent="0.25">
      <c r="A66" s="7"/>
      <c r="B66" s="245">
        <v>45292</v>
      </c>
      <c r="C66" s="245">
        <v>45292</v>
      </c>
      <c r="D66" s="269">
        <v>10090</v>
      </c>
      <c r="E66" s="251" t="s">
        <v>525</v>
      </c>
      <c r="F66" s="242" t="s">
        <v>467</v>
      </c>
      <c r="G66" s="242" t="s">
        <v>468</v>
      </c>
      <c r="H66" s="242"/>
      <c r="I66" s="242">
        <v>0</v>
      </c>
      <c r="J66" s="262">
        <v>56</v>
      </c>
      <c r="K66" s="312">
        <v>219.48</v>
      </c>
      <c r="L66" s="263">
        <f t="shared" si="0"/>
        <v>12290.88</v>
      </c>
    </row>
    <row r="67" spans="1:12" ht="15.75" x14ac:dyDescent="0.25">
      <c r="A67" s="7"/>
      <c r="B67" s="245">
        <v>45292</v>
      </c>
      <c r="C67" s="245">
        <v>45292</v>
      </c>
      <c r="D67" s="269">
        <v>6655</v>
      </c>
      <c r="E67" s="251" t="s">
        <v>526</v>
      </c>
      <c r="F67" s="242" t="s">
        <v>467</v>
      </c>
      <c r="G67" s="242" t="s">
        <v>468</v>
      </c>
      <c r="H67" s="242">
        <v>480</v>
      </c>
      <c r="I67" s="242">
        <v>192</v>
      </c>
      <c r="J67" s="262">
        <v>752</v>
      </c>
      <c r="K67" s="312">
        <v>219.48</v>
      </c>
      <c r="L67" s="263">
        <f t="shared" si="0"/>
        <v>165048.95999999999</v>
      </c>
    </row>
    <row r="68" spans="1:12" ht="15.75" x14ac:dyDescent="0.25">
      <c r="A68" s="7"/>
      <c r="B68" s="245">
        <v>45292</v>
      </c>
      <c r="C68" s="245">
        <v>45292</v>
      </c>
      <c r="D68" s="269">
        <v>5712</v>
      </c>
      <c r="E68" s="251" t="s">
        <v>527</v>
      </c>
      <c r="F68" s="242" t="s">
        <v>467</v>
      </c>
      <c r="G68" s="242" t="s">
        <v>468</v>
      </c>
      <c r="H68" s="242"/>
      <c r="I68" s="242">
        <v>0</v>
      </c>
      <c r="J68" s="262">
        <v>5</v>
      </c>
      <c r="K68" s="312">
        <v>1079.1199999999999</v>
      </c>
      <c r="L68" s="263">
        <f t="shared" si="0"/>
        <v>5395.5999999999995</v>
      </c>
    </row>
    <row r="69" spans="1:12" ht="15.75" x14ac:dyDescent="0.25">
      <c r="A69" s="7"/>
      <c r="B69" s="245">
        <v>45292</v>
      </c>
      <c r="C69" s="245">
        <v>45292</v>
      </c>
      <c r="D69" s="269">
        <v>5493</v>
      </c>
      <c r="E69" s="251" t="s">
        <v>528</v>
      </c>
      <c r="F69" s="242" t="s">
        <v>467</v>
      </c>
      <c r="G69" s="242" t="s">
        <v>468</v>
      </c>
      <c r="H69" s="242"/>
      <c r="I69" s="242">
        <v>0</v>
      </c>
      <c r="J69" s="262">
        <v>15</v>
      </c>
      <c r="K69" s="312">
        <v>1001.89</v>
      </c>
      <c r="L69" s="263">
        <f t="shared" si="0"/>
        <v>15028.35</v>
      </c>
    </row>
    <row r="70" spans="1:12" ht="15.75" x14ac:dyDescent="0.25">
      <c r="A70" s="7"/>
      <c r="B70" s="245">
        <v>45292</v>
      </c>
      <c r="C70" s="245">
        <v>45292</v>
      </c>
      <c r="D70" s="269">
        <v>771</v>
      </c>
      <c r="E70" s="251" t="s">
        <v>529</v>
      </c>
      <c r="F70" s="242" t="s">
        <v>467</v>
      </c>
      <c r="G70" s="242" t="s">
        <v>468</v>
      </c>
      <c r="H70" s="242"/>
      <c r="I70" s="242">
        <v>1150</v>
      </c>
      <c r="J70" s="262">
        <v>950</v>
      </c>
      <c r="K70" s="312">
        <v>82.6</v>
      </c>
      <c r="L70" s="263">
        <f t="shared" si="0"/>
        <v>78470</v>
      </c>
    </row>
    <row r="71" spans="1:12" ht="15.75" x14ac:dyDescent="0.25">
      <c r="A71" s="7"/>
      <c r="B71" s="245">
        <v>45292</v>
      </c>
      <c r="C71" s="245">
        <v>45292</v>
      </c>
      <c r="D71" s="269">
        <v>772</v>
      </c>
      <c r="E71" s="251" t="s">
        <v>530</v>
      </c>
      <c r="F71" s="242" t="s">
        <v>467</v>
      </c>
      <c r="G71" s="242" t="s">
        <v>468</v>
      </c>
      <c r="H71" s="242"/>
      <c r="I71" s="242">
        <v>400</v>
      </c>
      <c r="J71" s="262">
        <v>250</v>
      </c>
      <c r="K71" s="312">
        <v>312.7</v>
      </c>
      <c r="L71" s="263">
        <f t="shared" si="0"/>
        <v>78175</v>
      </c>
    </row>
    <row r="72" spans="1:12" ht="15.75" x14ac:dyDescent="0.25">
      <c r="A72" s="7"/>
      <c r="B72" s="245">
        <v>45292</v>
      </c>
      <c r="C72" s="245">
        <v>45292</v>
      </c>
      <c r="D72" s="269">
        <v>12931</v>
      </c>
      <c r="E72" s="251" t="s">
        <v>532</v>
      </c>
      <c r="F72" s="242" t="s">
        <v>467</v>
      </c>
      <c r="G72" s="242" t="s">
        <v>468</v>
      </c>
      <c r="H72" s="242"/>
      <c r="I72" s="242">
        <v>0</v>
      </c>
      <c r="J72" s="262">
        <v>10</v>
      </c>
      <c r="K72" s="312">
        <v>17020</v>
      </c>
      <c r="L72" s="263">
        <f t="shared" si="0"/>
        <v>170200</v>
      </c>
    </row>
    <row r="73" spans="1:12" ht="15.75" x14ac:dyDescent="0.25">
      <c r="A73" s="7"/>
      <c r="B73" s="245">
        <v>45292</v>
      </c>
      <c r="C73" s="245">
        <v>45292</v>
      </c>
      <c r="D73" s="269">
        <v>6654</v>
      </c>
      <c r="E73" s="251" t="s">
        <v>522</v>
      </c>
      <c r="F73" s="242" t="s">
        <v>523</v>
      </c>
      <c r="G73" s="242" t="s">
        <v>468</v>
      </c>
      <c r="H73" s="242"/>
      <c r="I73" s="242">
        <v>0</v>
      </c>
      <c r="J73" s="262">
        <v>37</v>
      </c>
      <c r="K73" s="311">
        <v>920.4</v>
      </c>
      <c r="L73" s="263">
        <f t="shared" si="0"/>
        <v>34054.799999999996</v>
      </c>
    </row>
    <row r="74" spans="1:12" ht="15.75" x14ac:dyDescent="0.25">
      <c r="A74" s="7"/>
      <c r="B74" s="245">
        <v>45292</v>
      </c>
      <c r="C74" s="245">
        <v>45292</v>
      </c>
      <c r="D74" s="269">
        <v>15019</v>
      </c>
      <c r="E74" s="251" t="s">
        <v>524</v>
      </c>
      <c r="F74" s="242" t="s">
        <v>523</v>
      </c>
      <c r="G74" s="242" t="s">
        <v>468</v>
      </c>
      <c r="H74" s="242"/>
      <c r="I74" s="242">
        <v>0</v>
      </c>
      <c r="J74" s="262">
        <v>10</v>
      </c>
      <c r="K74" s="312">
        <v>958</v>
      </c>
      <c r="L74" s="263">
        <f t="shared" si="0"/>
        <v>9580</v>
      </c>
    </row>
    <row r="75" spans="1:12" ht="15.75" x14ac:dyDescent="0.25">
      <c r="A75" s="7"/>
      <c r="B75" s="245">
        <v>45292</v>
      </c>
      <c r="C75" s="245">
        <v>45292</v>
      </c>
      <c r="D75" s="269">
        <v>12932</v>
      </c>
      <c r="E75" s="251" t="s">
        <v>533</v>
      </c>
      <c r="F75" s="242" t="s">
        <v>467</v>
      </c>
      <c r="G75" s="242" t="s">
        <v>468</v>
      </c>
      <c r="H75" s="242"/>
      <c r="I75" s="242">
        <v>0</v>
      </c>
      <c r="J75" s="262">
        <v>13</v>
      </c>
      <c r="K75" s="312">
        <v>17020</v>
      </c>
      <c r="L75" s="263">
        <f t="shared" si="0"/>
        <v>221260</v>
      </c>
    </row>
    <row r="76" spans="1:12" ht="15.75" x14ac:dyDescent="0.25">
      <c r="A76" s="7"/>
      <c r="B76" s="245">
        <v>45292</v>
      </c>
      <c r="C76" s="245">
        <v>45292</v>
      </c>
      <c r="D76" s="269">
        <v>1933</v>
      </c>
      <c r="E76" s="251" t="s">
        <v>534</v>
      </c>
      <c r="F76" s="242" t="s">
        <v>467</v>
      </c>
      <c r="G76" s="242" t="s">
        <v>468</v>
      </c>
      <c r="H76" s="242"/>
      <c r="I76" s="242">
        <v>0</v>
      </c>
      <c r="J76" s="262">
        <v>3</v>
      </c>
      <c r="K76" s="312">
        <v>17020</v>
      </c>
      <c r="L76" s="263">
        <f t="shared" si="0"/>
        <v>51060</v>
      </c>
    </row>
    <row r="77" spans="1:12" ht="15.75" x14ac:dyDescent="0.25">
      <c r="A77" s="7"/>
      <c r="B77" s="245">
        <v>45292</v>
      </c>
      <c r="C77" s="245">
        <v>45292</v>
      </c>
      <c r="D77" s="269">
        <v>16375</v>
      </c>
      <c r="E77" s="251" t="s">
        <v>535</v>
      </c>
      <c r="F77" s="242" t="s">
        <v>467</v>
      </c>
      <c r="G77" s="242" t="s">
        <v>468</v>
      </c>
      <c r="H77" s="242"/>
      <c r="I77" s="242">
        <v>0</v>
      </c>
      <c r="J77" s="262">
        <v>9</v>
      </c>
      <c r="K77" s="312">
        <v>30733.4</v>
      </c>
      <c r="L77" s="263">
        <f t="shared" si="0"/>
        <v>276600.60000000003</v>
      </c>
    </row>
    <row r="78" spans="1:12" ht="15.75" x14ac:dyDescent="0.25">
      <c r="A78" s="7"/>
      <c r="B78" s="245">
        <v>45292</v>
      </c>
      <c r="C78" s="245">
        <v>45292</v>
      </c>
      <c r="D78" s="269">
        <v>749</v>
      </c>
      <c r="E78" s="251" t="s">
        <v>536</v>
      </c>
      <c r="F78" s="242" t="s">
        <v>467</v>
      </c>
      <c r="G78" s="242" t="s">
        <v>468</v>
      </c>
      <c r="H78" s="242">
        <v>60</v>
      </c>
      <c r="I78" s="242">
        <v>10</v>
      </c>
      <c r="J78" s="262">
        <v>320</v>
      </c>
      <c r="K78" s="312">
        <v>590</v>
      </c>
      <c r="L78" s="263">
        <f t="shared" ref="L78:L141" si="1">+K78*J78</f>
        <v>188800</v>
      </c>
    </row>
    <row r="79" spans="1:12" ht="15.75" x14ac:dyDescent="0.25">
      <c r="A79" s="7"/>
      <c r="B79" s="245">
        <v>45292</v>
      </c>
      <c r="C79" s="245">
        <v>45292</v>
      </c>
      <c r="D79" s="269">
        <v>1221</v>
      </c>
      <c r="E79" s="251" t="s">
        <v>558</v>
      </c>
      <c r="F79" s="242" t="s">
        <v>470</v>
      </c>
      <c r="G79" s="242" t="s">
        <v>474</v>
      </c>
      <c r="H79" s="242"/>
      <c r="I79" s="242">
        <v>50</v>
      </c>
      <c r="J79" s="262">
        <v>25</v>
      </c>
      <c r="K79" s="311">
        <v>690</v>
      </c>
      <c r="L79" s="263">
        <f t="shared" si="1"/>
        <v>17250</v>
      </c>
    </row>
    <row r="80" spans="1:12" ht="15.75" x14ac:dyDescent="0.25">
      <c r="A80" s="7"/>
      <c r="B80" s="245">
        <v>45292</v>
      </c>
      <c r="C80" s="245">
        <v>45292</v>
      </c>
      <c r="D80" s="269">
        <v>778</v>
      </c>
      <c r="E80" s="251" t="s">
        <v>539</v>
      </c>
      <c r="F80" s="242" t="s">
        <v>467</v>
      </c>
      <c r="G80" s="242" t="s">
        <v>468</v>
      </c>
      <c r="H80" s="242"/>
      <c r="I80" s="242">
        <v>0</v>
      </c>
      <c r="J80" s="262">
        <v>500</v>
      </c>
      <c r="K80" s="311">
        <v>10.029999999999999</v>
      </c>
      <c r="L80" s="263">
        <f t="shared" si="1"/>
        <v>5015</v>
      </c>
    </row>
    <row r="81" spans="1:12" ht="15.75" x14ac:dyDescent="0.25">
      <c r="A81" s="7"/>
      <c r="B81" s="245">
        <v>45292</v>
      </c>
      <c r="C81" s="245">
        <v>45292</v>
      </c>
      <c r="D81" s="269">
        <v>779</v>
      </c>
      <c r="E81" s="251" t="s">
        <v>540</v>
      </c>
      <c r="F81" s="242" t="s">
        <v>467</v>
      </c>
      <c r="G81" s="242" t="s">
        <v>468</v>
      </c>
      <c r="H81" s="242"/>
      <c r="I81" s="242">
        <v>0</v>
      </c>
      <c r="J81" s="262">
        <v>200</v>
      </c>
      <c r="K81" s="314">
        <v>25.96</v>
      </c>
      <c r="L81" s="263">
        <f t="shared" si="1"/>
        <v>5192</v>
      </c>
    </row>
    <row r="82" spans="1:12" ht="15.75" x14ac:dyDescent="0.25">
      <c r="A82" s="7"/>
      <c r="B82" s="245">
        <v>45292</v>
      </c>
      <c r="C82" s="245">
        <v>45292</v>
      </c>
      <c r="D82" s="269">
        <v>16876</v>
      </c>
      <c r="E82" s="251" t="s">
        <v>2374</v>
      </c>
      <c r="F82" s="242" t="s">
        <v>470</v>
      </c>
      <c r="G82" s="242" t="s">
        <v>474</v>
      </c>
      <c r="H82" s="242"/>
      <c r="I82" s="242">
        <v>120</v>
      </c>
      <c r="J82" s="262">
        <v>228</v>
      </c>
      <c r="K82" s="311">
        <v>112.5</v>
      </c>
      <c r="L82" s="263">
        <f t="shared" si="1"/>
        <v>25650</v>
      </c>
    </row>
    <row r="83" spans="1:12" ht="15.75" x14ac:dyDescent="0.25">
      <c r="A83" s="7"/>
      <c r="B83" s="245">
        <v>45292</v>
      </c>
      <c r="C83" s="245">
        <v>45292</v>
      </c>
      <c r="D83" s="269">
        <v>780</v>
      </c>
      <c r="E83" s="251" t="s">
        <v>541</v>
      </c>
      <c r="F83" s="242" t="s">
        <v>467</v>
      </c>
      <c r="G83" s="242" t="s">
        <v>468</v>
      </c>
      <c r="H83" s="242"/>
      <c r="I83" s="242">
        <v>80</v>
      </c>
      <c r="J83" s="262">
        <v>580</v>
      </c>
      <c r="K83" s="311">
        <v>14.16</v>
      </c>
      <c r="L83" s="263">
        <f t="shared" si="1"/>
        <v>8212.7999999999993</v>
      </c>
    </row>
    <row r="84" spans="1:12" ht="15.75" x14ac:dyDescent="0.25">
      <c r="A84" s="7"/>
      <c r="B84" s="245">
        <v>45292</v>
      </c>
      <c r="C84" s="245">
        <v>45292</v>
      </c>
      <c r="D84" s="269">
        <v>781</v>
      </c>
      <c r="E84" s="251" t="s">
        <v>542</v>
      </c>
      <c r="F84" s="242" t="s">
        <v>467</v>
      </c>
      <c r="G84" s="242" t="s">
        <v>468</v>
      </c>
      <c r="H84" s="242"/>
      <c r="I84" s="242">
        <v>50</v>
      </c>
      <c r="J84" s="262">
        <v>80</v>
      </c>
      <c r="K84" s="311">
        <v>10.620000000000001</v>
      </c>
      <c r="L84" s="263">
        <f t="shared" si="1"/>
        <v>849.60000000000014</v>
      </c>
    </row>
    <row r="85" spans="1:12" ht="15.75" x14ac:dyDescent="0.25">
      <c r="A85" s="7"/>
      <c r="B85" s="245">
        <v>45292</v>
      </c>
      <c r="C85" s="245">
        <v>45292</v>
      </c>
      <c r="D85" s="269">
        <v>782</v>
      </c>
      <c r="E85" s="251" t="s">
        <v>543</v>
      </c>
      <c r="F85" s="242" t="s">
        <v>467</v>
      </c>
      <c r="G85" s="242" t="s">
        <v>468</v>
      </c>
      <c r="H85" s="242"/>
      <c r="I85" s="242">
        <v>0</v>
      </c>
      <c r="J85" s="262">
        <v>520</v>
      </c>
      <c r="K85" s="311">
        <v>10.62</v>
      </c>
      <c r="L85" s="263">
        <f t="shared" si="1"/>
        <v>5522.4</v>
      </c>
    </row>
    <row r="86" spans="1:12" ht="15.75" x14ac:dyDescent="0.25">
      <c r="A86" s="7"/>
      <c r="B86" s="245">
        <v>45292</v>
      </c>
      <c r="C86" s="245">
        <v>45292</v>
      </c>
      <c r="D86" s="269">
        <v>783</v>
      </c>
      <c r="E86" s="251" t="s">
        <v>544</v>
      </c>
      <c r="F86" s="242" t="s">
        <v>467</v>
      </c>
      <c r="G86" s="242" t="s">
        <v>468</v>
      </c>
      <c r="H86" s="242"/>
      <c r="I86" s="242">
        <v>0</v>
      </c>
      <c r="J86" s="262">
        <v>300</v>
      </c>
      <c r="K86" s="311">
        <v>5.0199999999999996</v>
      </c>
      <c r="L86" s="263">
        <f t="shared" si="1"/>
        <v>1505.9999999999998</v>
      </c>
    </row>
    <row r="87" spans="1:12" ht="15.75" x14ac:dyDescent="0.25">
      <c r="A87" s="7"/>
      <c r="B87" s="245">
        <v>45292</v>
      </c>
      <c r="C87" s="245">
        <v>45292</v>
      </c>
      <c r="D87" s="269">
        <v>5177</v>
      </c>
      <c r="E87" s="251" t="s">
        <v>545</v>
      </c>
      <c r="F87" s="242" t="s">
        <v>467</v>
      </c>
      <c r="G87" s="242" t="s">
        <v>468</v>
      </c>
      <c r="H87" s="242"/>
      <c r="I87" s="242">
        <v>0</v>
      </c>
      <c r="J87" s="262">
        <v>200</v>
      </c>
      <c r="K87" s="311">
        <v>4.1100000000000003</v>
      </c>
      <c r="L87" s="263">
        <f t="shared" si="1"/>
        <v>822.00000000000011</v>
      </c>
    </row>
    <row r="88" spans="1:12" ht="15.75" x14ac:dyDescent="0.25">
      <c r="A88" s="7"/>
      <c r="B88" s="245">
        <v>45292</v>
      </c>
      <c r="C88" s="245">
        <v>45292</v>
      </c>
      <c r="D88" s="269">
        <v>795</v>
      </c>
      <c r="E88" s="251" t="s">
        <v>559</v>
      </c>
      <c r="F88" s="242" t="s">
        <v>470</v>
      </c>
      <c r="G88" s="242" t="s">
        <v>474</v>
      </c>
      <c r="H88" s="242"/>
      <c r="I88" s="242">
        <v>0</v>
      </c>
      <c r="J88" s="262">
        <v>5</v>
      </c>
      <c r="K88" s="312">
        <v>140</v>
      </c>
      <c r="L88" s="263">
        <f t="shared" si="1"/>
        <v>700</v>
      </c>
    </row>
    <row r="89" spans="1:12" ht="15.75" x14ac:dyDescent="0.25">
      <c r="A89" s="7"/>
      <c r="B89" s="245">
        <v>45292</v>
      </c>
      <c r="C89" s="245">
        <v>45292</v>
      </c>
      <c r="D89" s="269">
        <v>17011</v>
      </c>
      <c r="E89" s="251" t="s">
        <v>546</v>
      </c>
      <c r="F89" s="242" t="s">
        <v>467</v>
      </c>
      <c r="G89" s="242" t="s">
        <v>468</v>
      </c>
      <c r="H89" s="242"/>
      <c r="I89" s="242">
        <v>0</v>
      </c>
      <c r="J89" s="262">
        <v>52</v>
      </c>
      <c r="K89" s="312">
        <v>250</v>
      </c>
      <c r="L89" s="263">
        <f t="shared" si="1"/>
        <v>13000</v>
      </c>
    </row>
    <row r="90" spans="1:12" ht="15.75" x14ac:dyDescent="0.25">
      <c r="A90" s="7"/>
      <c r="B90" s="245">
        <v>45292</v>
      </c>
      <c r="C90" s="245">
        <v>45292</v>
      </c>
      <c r="D90" s="269">
        <v>11930</v>
      </c>
      <c r="E90" s="251" t="s">
        <v>547</v>
      </c>
      <c r="F90" s="242" t="s">
        <v>467</v>
      </c>
      <c r="G90" s="242" t="s">
        <v>468</v>
      </c>
      <c r="H90" s="242"/>
      <c r="I90" s="242">
        <v>0</v>
      </c>
      <c r="J90" s="262">
        <v>1</v>
      </c>
      <c r="K90" s="311">
        <v>2950</v>
      </c>
      <c r="L90" s="263">
        <f t="shared" si="1"/>
        <v>2950</v>
      </c>
    </row>
    <row r="91" spans="1:12" ht="15.75" x14ac:dyDescent="0.25">
      <c r="A91" s="7"/>
      <c r="B91" s="245">
        <v>45292</v>
      </c>
      <c r="C91" s="245">
        <v>45292</v>
      </c>
      <c r="D91" s="269">
        <v>14829</v>
      </c>
      <c r="E91" s="251" t="s">
        <v>548</v>
      </c>
      <c r="F91" s="242" t="s">
        <v>467</v>
      </c>
      <c r="G91" s="242" t="s">
        <v>468</v>
      </c>
      <c r="H91" s="242"/>
      <c r="I91" s="242">
        <v>0</v>
      </c>
      <c r="J91" s="262">
        <v>25</v>
      </c>
      <c r="K91" s="312">
        <v>424.8</v>
      </c>
      <c r="L91" s="263">
        <f t="shared" si="1"/>
        <v>10620</v>
      </c>
    </row>
    <row r="92" spans="1:12" ht="15.75" x14ac:dyDescent="0.25">
      <c r="A92" s="7"/>
      <c r="B92" s="245">
        <v>45292</v>
      </c>
      <c r="C92" s="245">
        <v>45292</v>
      </c>
      <c r="D92" s="269">
        <v>8532</v>
      </c>
      <c r="E92" s="251" t="s">
        <v>549</v>
      </c>
      <c r="F92" s="242" t="s">
        <v>467</v>
      </c>
      <c r="G92" s="242" t="s">
        <v>468</v>
      </c>
      <c r="H92" s="242"/>
      <c r="I92" s="242">
        <v>110</v>
      </c>
      <c r="J92" s="262">
        <v>107</v>
      </c>
      <c r="K92" s="312">
        <v>542.79999999999995</v>
      </c>
      <c r="L92" s="263">
        <f t="shared" si="1"/>
        <v>58079.6</v>
      </c>
    </row>
    <row r="93" spans="1:12" ht="15.75" x14ac:dyDescent="0.25">
      <c r="A93" s="7"/>
      <c r="B93" s="245">
        <v>45292</v>
      </c>
      <c r="C93" s="245">
        <v>45292</v>
      </c>
      <c r="D93" s="269">
        <v>5097</v>
      </c>
      <c r="E93" s="251" t="s">
        <v>550</v>
      </c>
      <c r="F93" s="242" t="s">
        <v>467</v>
      </c>
      <c r="G93" s="242" t="s">
        <v>468</v>
      </c>
      <c r="H93" s="242"/>
      <c r="I93" s="242">
        <v>1</v>
      </c>
      <c r="J93" s="262">
        <v>1</v>
      </c>
      <c r="K93" s="311">
        <v>4250</v>
      </c>
      <c r="L93" s="263">
        <f t="shared" si="1"/>
        <v>4250</v>
      </c>
    </row>
    <row r="94" spans="1:12" ht="15.75" x14ac:dyDescent="0.25">
      <c r="A94" s="7"/>
      <c r="B94" s="245">
        <v>45292</v>
      </c>
      <c r="C94" s="245">
        <v>45292</v>
      </c>
      <c r="D94" s="269">
        <v>6228</v>
      </c>
      <c r="E94" s="251" t="s">
        <v>551</v>
      </c>
      <c r="F94" s="242" t="s">
        <v>467</v>
      </c>
      <c r="G94" s="242" t="s">
        <v>468</v>
      </c>
      <c r="H94" s="242"/>
      <c r="I94" s="242">
        <v>0</v>
      </c>
      <c r="J94" s="262">
        <v>35</v>
      </c>
      <c r="K94" s="311">
        <v>649.77</v>
      </c>
      <c r="L94" s="263">
        <f t="shared" si="1"/>
        <v>22741.95</v>
      </c>
    </row>
    <row r="95" spans="1:12" ht="15.75" x14ac:dyDescent="0.25">
      <c r="A95" s="7"/>
      <c r="B95" s="245">
        <v>45292</v>
      </c>
      <c r="C95" s="245">
        <v>45292</v>
      </c>
      <c r="D95" s="269">
        <v>9469</v>
      </c>
      <c r="E95" s="251" t="s">
        <v>552</v>
      </c>
      <c r="F95" s="242" t="s">
        <v>467</v>
      </c>
      <c r="G95" s="242" t="s">
        <v>468</v>
      </c>
      <c r="H95" s="242"/>
      <c r="I95" s="242">
        <v>0</v>
      </c>
      <c r="J95" s="262">
        <v>75</v>
      </c>
      <c r="K95" s="311">
        <v>497.31</v>
      </c>
      <c r="L95" s="263">
        <f t="shared" si="1"/>
        <v>37298.25</v>
      </c>
    </row>
    <row r="96" spans="1:12" ht="15.75" x14ac:dyDescent="0.25">
      <c r="A96" s="7"/>
      <c r="B96" s="245">
        <v>45292</v>
      </c>
      <c r="C96" s="245">
        <v>45292</v>
      </c>
      <c r="D96" s="269">
        <v>12424</v>
      </c>
      <c r="E96" s="251" t="s">
        <v>553</v>
      </c>
      <c r="F96" s="242" t="s">
        <v>467</v>
      </c>
      <c r="G96" s="242" t="s">
        <v>468</v>
      </c>
      <c r="H96" s="242"/>
      <c r="I96" s="242">
        <v>0</v>
      </c>
      <c r="J96" s="262">
        <v>102</v>
      </c>
      <c r="K96" s="311">
        <v>105.93</v>
      </c>
      <c r="L96" s="263">
        <f t="shared" si="1"/>
        <v>10804.86</v>
      </c>
    </row>
    <row r="97" spans="1:12" ht="15.75" x14ac:dyDescent="0.25">
      <c r="A97" s="7"/>
      <c r="B97" s="245">
        <v>45292</v>
      </c>
      <c r="C97" s="245">
        <v>45292</v>
      </c>
      <c r="D97" s="269">
        <v>788</v>
      </c>
      <c r="E97" s="251" t="s">
        <v>556</v>
      </c>
      <c r="F97" s="242" t="s">
        <v>467</v>
      </c>
      <c r="G97" s="242" t="s">
        <v>468</v>
      </c>
      <c r="H97" s="242"/>
      <c r="I97" s="242">
        <v>0</v>
      </c>
      <c r="J97" s="262">
        <v>900</v>
      </c>
      <c r="K97" s="311">
        <v>35.4</v>
      </c>
      <c r="L97" s="263">
        <f t="shared" si="1"/>
        <v>31860</v>
      </c>
    </row>
    <row r="98" spans="1:12" ht="15.75" x14ac:dyDescent="0.25">
      <c r="A98" s="7"/>
      <c r="B98" s="245">
        <v>45292</v>
      </c>
      <c r="C98" s="245">
        <v>45292</v>
      </c>
      <c r="D98" s="269">
        <v>15606</v>
      </c>
      <c r="E98" s="251" t="s">
        <v>560</v>
      </c>
      <c r="F98" s="242" t="s">
        <v>467</v>
      </c>
      <c r="G98" s="242" t="s">
        <v>468</v>
      </c>
      <c r="H98" s="242"/>
      <c r="I98" s="242">
        <v>0</v>
      </c>
      <c r="J98" s="262">
        <v>15</v>
      </c>
      <c r="K98" s="311">
        <v>182.9</v>
      </c>
      <c r="L98" s="263">
        <f t="shared" si="1"/>
        <v>2743.5</v>
      </c>
    </row>
    <row r="99" spans="1:12" ht="15.75" x14ac:dyDescent="0.25">
      <c r="A99" s="7"/>
      <c r="B99" s="245">
        <v>45292</v>
      </c>
      <c r="C99" s="245">
        <v>45292</v>
      </c>
      <c r="D99" s="269">
        <v>15605</v>
      </c>
      <c r="E99" s="251" t="s">
        <v>561</v>
      </c>
      <c r="F99" s="242" t="s">
        <v>467</v>
      </c>
      <c r="G99" s="242" t="s">
        <v>468</v>
      </c>
      <c r="H99" s="242"/>
      <c r="I99" s="242">
        <v>0</v>
      </c>
      <c r="J99" s="262">
        <v>30</v>
      </c>
      <c r="K99" s="311">
        <v>182.9</v>
      </c>
      <c r="L99" s="263">
        <f t="shared" si="1"/>
        <v>5487</v>
      </c>
    </row>
    <row r="100" spans="1:12" ht="15.75" x14ac:dyDescent="0.25">
      <c r="A100" s="7"/>
      <c r="B100" s="245">
        <v>45292</v>
      </c>
      <c r="C100" s="245">
        <v>45292</v>
      </c>
      <c r="D100" s="269">
        <v>798</v>
      </c>
      <c r="E100" s="251" t="s">
        <v>562</v>
      </c>
      <c r="F100" s="242" t="s">
        <v>467</v>
      </c>
      <c r="G100" s="242" t="s">
        <v>468</v>
      </c>
      <c r="H100" s="242"/>
      <c r="I100" s="242">
        <v>80</v>
      </c>
      <c r="J100" s="262">
        <v>90</v>
      </c>
      <c r="K100" s="311">
        <v>377.6</v>
      </c>
      <c r="L100" s="263">
        <f t="shared" si="1"/>
        <v>33984</v>
      </c>
    </row>
    <row r="101" spans="1:12" ht="15.75" x14ac:dyDescent="0.25">
      <c r="A101" s="7"/>
      <c r="B101" s="245">
        <v>45292</v>
      </c>
      <c r="C101" s="245">
        <v>45292</v>
      </c>
      <c r="D101" s="269">
        <v>8477</v>
      </c>
      <c r="E101" s="251" t="s">
        <v>563</v>
      </c>
      <c r="F101" s="242" t="s">
        <v>467</v>
      </c>
      <c r="G101" s="242" t="s">
        <v>468</v>
      </c>
      <c r="H101" s="242"/>
      <c r="I101" s="242">
        <v>0</v>
      </c>
      <c r="J101" s="262">
        <v>6</v>
      </c>
      <c r="K101" s="312">
        <v>13098</v>
      </c>
      <c r="L101" s="263">
        <f t="shared" si="1"/>
        <v>78588</v>
      </c>
    </row>
    <row r="102" spans="1:12" ht="15.75" x14ac:dyDescent="0.25">
      <c r="A102" s="7"/>
      <c r="B102" s="245">
        <v>45292</v>
      </c>
      <c r="C102" s="245">
        <v>45292</v>
      </c>
      <c r="D102" s="269">
        <v>4869</v>
      </c>
      <c r="E102" s="251" t="s">
        <v>565</v>
      </c>
      <c r="F102" s="242" t="s">
        <v>467</v>
      </c>
      <c r="G102" s="242" t="s">
        <v>468</v>
      </c>
      <c r="H102" s="242"/>
      <c r="I102" s="242">
        <v>70</v>
      </c>
      <c r="J102" s="262">
        <v>331</v>
      </c>
      <c r="K102" s="313">
        <v>322</v>
      </c>
      <c r="L102" s="263">
        <f t="shared" si="1"/>
        <v>106582</v>
      </c>
    </row>
    <row r="103" spans="1:12" ht="15.75" x14ac:dyDescent="0.25">
      <c r="A103" s="7"/>
      <c r="B103" s="245">
        <v>45292</v>
      </c>
      <c r="C103" s="245">
        <v>45292</v>
      </c>
      <c r="D103" s="269">
        <v>20644</v>
      </c>
      <c r="E103" s="251" t="s">
        <v>554</v>
      </c>
      <c r="F103" s="242" t="s">
        <v>469</v>
      </c>
      <c r="G103" s="242" t="s">
        <v>555</v>
      </c>
      <c r="H103" s="242">
        <v>4</v>
      </c>
      <c r="I103" s="242">
        <v>4</v>
      </c>
      <c r="J103" s="262">
        <v>2</v>
      </c>
      <c r="K103" s="312">
        <v>7000</v>
      </c>
      <c r="L103" s="263">
        <f t="shared" si="1"/>
        <v>14000</v>
      </c>
    </row>
    <row r="104" spans="1:12" ht="15.75" x14ac:dyDescent="0.25">
      <c r="A104" s="7"/>
      <c r="B104" s="245">
        <v>45292</v>
      </c>
      <c r="C104" s="245">
        <v>45292</v>
      </c>
      <c r="D104" s="269">
        <v>10095</v>
      </c>
      <c r="E104" s="251" t="s">
        <v>567</v>
      </c>
      <c r="F104" s="242" t="s">
        <v>467</v>
      </c>
      <c r="G104" s="242" t="s">
        <v>468</v>
      </c>
      <c r="H104" s="242"/>
      <c r="I104" s="242">
        <v>0</v>
      </c>
      <c r="J104" s="262">
        <v>20</v>
      </c>
      <c r="K104" s="311">
        <v>247.8</v>
      </c>
      <c r="L104" s="263">
        <f t="shared" si="1"/>
        <v>4956</v>
      </c>
    </row>
    <row r="105" spans="1:12" ht="15.75" x14ac:dyDescent="0.25">
      <c r="A105" s="7"/>
      <c r="B105" s="245">
        <v>45292</v>
      </c>
      <c r="C105" s="245">
        <v>45292</v>
      </c>
      <c r="D105" s="269">
        <v>10096</v>
      </c>
      <c r="E105" s="251" t="s">
        <v>568</v>
      </c>
      <c r="F105" s="242" t="s">
        <v>467</v>
      </c>
      <c r="G105" s="242" t="s">
        <v>468</v>
      </c>
      <c r="H105" s="242"/>
      <c r="I105" s="242">
        <v>0</v>
      </c>
      <c r="J105" s="262">
        <v>110</v>
      </c>
      <c r="K105" s="311">
        <v>247.8</v>
      </c>
      <c r="L105" s="263">
        <f t="shared" si="1"/>
        <v>27258</v>
      </c>
    </row>
    <row r="106" spans="1:12" ht="15.75" x14ac:dyDescent="0.25">
      <c r="A106" s="7"/>
      <c r="B106" s="245">
        <v>45292</v>
      </c>
      <c r="C106" s="245">
        <v>45292</v>
      </c>
      <c r="D106" s="269">
        <v>19675</v>
      </c>
      <c r="E106" s="251" t="s">
        <v>566</v>
      </c>
      <c r="F106" s="242" t="s">
        <v>470</v>
      </c>
      <c r="G106" s="242" t="s">
        <v>468</v>
      </c>
      <c r="H106" s="242"/>
      <c r="I106" s="242">
        <v>0</v>
      </c>
      <c r="J106" s="262">
        <v>300</v>
      </c>
      <c r="K106" s="311">
        <v>38</v>
      </c>
      <c r="L106" s="263">
        <f t="shared" si="1"/>
        <v>11400</v>
      </c>
    </row>
    <row r="107" spans="1:12" ht="15.75" x14ac:dyDescent="0.25">
      <c r="A107" s="7"/>
      <c r="B107" s="245">
        <v>45292</v>
      </c>
      <c r="C107" s="245">
        <v>45292</v>
      </c>
      <c r="D107" s="269">
        <v>817</v>
      </c>
      <c r="E107" s="251" t="s">
        <v>586</v>
      </c>
      <c r="F107" s="242" t="s">
        <v>470</v>
      </c>
      <c r="G107" s="242" t="s">
        <v>478</v>
      </c>
      <c r="H107" s="242"/>
      <c r="I107" s="242">
        <v>0</v>
      </c>
      <c r="J107" s="262">
        <v>720</v>
      </c>
      <c r="K107" s="312">
        <v>15</v>
      </c>
      <c r="L107" s="263">
        <f t="shared" si="1"/>
        <v>10800</v>
      </c>
    </row>
    <row r="108" spans="1:12" ht="15.75" x14ac:dyDescent="0.25">
      <c r="A108" s="7"/>
      <c r="B108" s="245">
        <v>45292</v>
      </c>
      <c r="C108" s="245">
        <v>45292</v>
      </c>
      <c r="D108" s="269">
        <v>10977</v>
      </c>
      <c r="E108" s="251" t="s">
        <v>587</v>
      </c>
      <c r="F108" s="242" t="s">
        <v>470</v>
      </c>
      <c r="G108" s="242" t="s">
        <v>478</v>
      </c>
      <c r="H108" s="242"/>
      <c r="I108" s="242">
        <v>0</v>
      </c>
      <c r="J108" s="262">
        <v>130</v>
      </c>
      <c r="K108" s="311">
        <v>17</v>
      </c>
      <c r="L108" s="263">
        <f t="shared" si="1"/>
        <v>2210</v>
      </c>
    </row>
    <row r="109" spans="1:12" ht="15.75" x14ac:dyDescent="0.25">
      <c r="A109" s="7"/>
      <c r="B109" s="245">
        <v>45292</v>
      </c>
      <c r="C109" s="245">
        <v>45292</v>
      </c>
      <c r="D109" s="269">
        <v>218</v>
      </c>
      <c r="E109" s="251" t="s">
        <v>588</v>
      </c>
      <c r="F109" s="242" t="s">
        <v>470</v>
      </c>
      <c r="G109" s="242" t="s">
        <v>468</v>
      </c>
      <c r="H109" s="242"/>
      <c r="I109" s="242">
        <v>150</v>
      </c>
      <c r="J109" s="262">
        <v>400</v>
      </c>
      <c r="K109" s="311">
        <v>372</v>
      </c>
      <c r="L109" s="263">
        <f t="shared" si="1"/>
        <v>148800</v>
      </c>
    </row>
    <row r="110" spans="1:12" ht="15.75" x14ac:dyDescent="0.25">
      <c r="A110" s="7"/>
      <c r="B110" s="245">
        <v>45292</v>
      </c>
      <c r="C110" s="245">
        <v>45292</v>
      </c>
      <c r="D110" s="269">
        <v>10094</v>
      </c>
      <c r="E110" s="251" t="s">
        <v>569</v>
      </c>
      <c r="F110" s="242" t="s">
        <v>467</v>
      </c>
      <c r="G110" s="242" t="s">
        <v>468</v>
      </c>
      <c r="H110" s="242"/>
      <c r="I110" s="242">
        <v>0</v>
      </c>
      <c r="J110" s="262">
        <v>60</v>
      </c>
      <c r="K110" s="312">
        <v>247.8</v>
      </c>
      <c r="L110" s="263">
        <f t="shared" si="1"/>
        <v>14868</v>
      </c>
    </row>
    <row r="111" spans="1:12" ht="15.75" x14ac:dyDescent="0.25">
      <c r="A111" s="7"/>
      <c r="B111" s="245">
        <v>45292</v>
      </c>
      <c r="C111" s="245">
        <v>45292</v>
      </c>
      <c r="D111" s="269">
        <v>803</v>
      </c>
      <c r="E111" s="251" t="s">
        <v>570</v>
      </c>
      <c r="F111" s="242" t="s">
        <v>467</v>
      </c>
      <c r="G111" s="242" t="s">
        <v>468</v>
      </c>
      <c r="H111" s="242"/>
      <c r="I111" s="242">
        <v>52</v>
      </c>
      <c r="J111" s="262">
        <v>237</v>
      </c>
      <c r="K111" s="311">
        <v>94.4</v>
      </c>
      <c r="L111" s="263">
        <f t="shared" si="1"/>
        <v>22372.800000000003</v>
      </c>
    </row>
    <row r="112" spans="1:12" ht="15.75" x14ac:dyDescent="0.25">
      <c r="A112" s="7"/>
      <c r="B112" s="245">
        <v>45292</v>
      </c>
      <c r="C112" s="245">
        <v>45292</v>
      </c>
      <c r="D112" s="269">
        <v>806</v>
      </c>
      <c r="E112" s="251" t="s">
        <v>571</v>
      </c>
      <c r="F112" s="242" t="s">
        <v>467</v>
      </c>
      <c r="G112" s="242" t="s">
        <v>468</v>
      </c>
      <c r="H112" s="242"/>
      <c r="I112" s="242">
        <v>0</v>
      </c>
      <c r="J112" s="262">
        <v>5</v>
      </c>
      <c r="K112" s="312">
        <v>74.34</v>
      </c>
      <c r="L112" s="263">
        <f t="shared" si="1"/>
        <v>371.70000000000005</v>
      </c>
    </row>
    <row r="113" spans="1:12" ht="15.75" x14ac:dyDescent="0.25">
      <c r="A113" s="7"/>
      <c r="B113" s="245">
        <v>45292</v>
      </c>
      <c r="C113" s="245">
        <v>45292</v>
      </c>
      <c r="D113" s="269">
        <v>805</v>
      </c>
      <c r="E113" s="251" t="s">
        <v>572</v>
      </c>
      <c r="F113" s="242" t="s">
        <v>467</v>
      </c>
      <c r="G113" s="242" t="s">
        <v>468</v>
      </c>
      <c r="H113" s="242"/>
      <c r="I113" s="242">
        <v>10</v>
      </c>
      <c r="J113" s="262">
        <v>78</v>
      </c>
      <c r="K113" s="311">
        <v>33.03</v>
      </c>
      <c r="L113" s="263">
        <f t="shared" si="1"/>
        <v>2576.34</v>
      </c>
    </row>
    <row r="114" spans="1:12" ht="15.75" x14ac:dyDescent="0.25">
      <c r="A114" s="7"/>
      <c r="B114" s="245">
        <v>45292</v>
      </c>
      <c r="C114" s="245">
        <v>45292</v>
      </c>
      <c r="D114" s="269">
        <v>819</v>
      </c>
      <c r="E114" s="251" t="s">
        <v>589</v>
      </c>
      <c r="F114" s="242" t="s">
        <v>470</v>
      </c>
      <c r="G114" s="242" t="s">
        <v>478</v>
      </c>
      <c r="H114" s="242"/>
      <c r="I114" s="242">
        <v>0</v>
      </c>
      <c r="J114" s="262">
        <v>100</v>
      </c>
      <c r="K114" s="312">
        <v>0.89</v>
      </c>
      <c r="L114" s="263">
        <f t="shared" si="1"/>
        <v>89</v>
      </c>
    </row>
    <row r="115" spans="1:12" ht="15.75" x14ac:dyDescent="0.25">
      <c r="A115" s="7"/>
      <c r="B115" s="245">
        <v>45292</v>
      </c>
      <c r="C115" s="245">
        <v>45292</v>
      </c>
      <c r="D115" s="269">
        <v>808</v>
      </c>
      <c r="E115" s="251" t="s">
        <v>573</v>
      </c>
      <c r="F115" s="242" t="s">
        <v>467</v>
      </c>
      <c r="G115" s="242" t="s">
        <v>468</v>
      </c>
      <c r="H115" s="242"/>
      <c r="I115" s="242">
        <v>20</v>
      </c>
      <c r="J115" s="262">
        <v>28</v>
      </c>
      <c r="K115" s="311">
        <v>70.8</v>
      </c>
      <c r="L115" s="263">
        <f t="shared" si="1"/>
        <v>1982.3999999999999</v>
      </c>
    </row>
    <row r="116" spans="1:12" ht="15.75" x14ac:dyDescent="0.25">
      <c r="A116" s="7"/>
      <c r="B116" s="245">
        <v>45292</v>
      </c>
      <c r="C116" s="245">
        <v>45292</v>
      </c>
      <c r="D116" s="269">
        <v>12900</v>
      </c>
      <c r="E116" s="251" t="s">
        <v>574</v>
      </c>
      <c r="F116" s="242" t="s">
        <v>467</v>
      </c>
      <c r="G116" s="242" t="s">
        <v>468</v>
      </c>
      <c r="H116" s="242"/>
      <c r="I116" s="242">
        <v>0</v>
      </c>
      <c r="J116" s="262">
        <v>56</v>
      </c>
      <c r="K116" s="312">
        <v>91</v>
      </c>
      <c r="L116" s="263">
        <f t="shared" si="1"/>
        <v>5096</v>
      </c>
    </row>
    <row r="117" spans="1:12" ht="15.75" x14ac:dyDescent="0.25">
      <c r="A117" s="7"/>
      <c r="B117" s="245">
        <v>45292</v>
      </c>
      <c r="C117" s="245">
        <v>45292</v>
      </c>
      <c r="D117" s="269">
        <v>809</v>
      </c>
      <c r="E117" s="251" t="s">
        <v>575</v>
      </c>
      <c r="F117" s="242" t="s">
        <v>467</v>
      </c>
      <c r="G117" s="242" t="s">
        <v>468</v>
      </c>
      <c r="H117" s="242"/>
      <c r="I117" s="242">
        <v>510</v>
      </c>
      <c r="J117" s="262">
        <v>500</v>
      </c>
      <c r="K117" s="311">
        <v>23.6</v>
      </c>
      <c r="L117" s="263">
        <f t="shared" si="1"/>
        <v>11800</v>
      </c>
    </row>
    <row r="118" spans="1:12" ht="15.75" x14ac:dyDescent="0.25">
      <c r="A118" s="7"/>
      <c r="B118" s="245">
        <v>45292</v>
      </c>
      <c r="C118" s="245">
        <v>45292</v>
      </c>
      <c r="D118" s="269">
        <v>810</v>
      </c>
      <c r="E118" s="251" t="s">
        <v>576</v>
      </c>
      <c r="F118" s="242" t="s">
        <v>467</v>
      </c>
      <c r="G118" s="242" t="s">
        <v>468</v>
      </c>
      <c r="H118" s="242"/>
      <c r="I118" s="242">
        <v>0</v>
      </c>
      <c r="J118" s="262">
        <v>20</v>
      </c>
      <c r="K118" s="312">
        <v>14.75</v>
      </c>
      <c r="L118" s="263">
        <f t="shared" si="1"/>
        <v>295</v>
      </c>
    </row>
    <row r="119" spans="1:12" ht="15.75" x14ac:dyDescent="0.25">
      <c r="A119" s="7"/>
      <c r="B119" s="245">
        <v>45292</v>
      </c>
      <c r="C119" s="245">
        <v>45292</v>
      </c>
      <c r="D119" s="269">
        <v>1475</v>
      </c>
      <c r="E119" s="251" t="s">
        <v>577</v>
      </c>
      <c r="F119" s="242" t="s">
        <v>467</v>
      </c>
      <c r="G119" s="242" t="s">
        <v>468</v>
      </c>
      <c r="H119" s="242"/>
      <c r="I119" s="242">
        <v>0</v>
      </c>
      <c r="J119" s="262">
        <v>4</v>
      </c>
      <c r="K119" s="312">
        <v>17.7</v>
      </c>
      <c r="L119" s="263">
        <f t="shared" si="1"/>
        <v>70.8</v>
      </c>
    </row>
    <row r="120" spans="1:12" ht="15.75" x14ac:dyDescent="0.25">
      <c r="A120" s="7"/>
      <c r="B120" s="245">
        <v>45292</v>
      </c>
      <c r="C120" s="245">
        <v>45292</v>
      </c>
      <c r="D120" s="269">
        <v>812</v>
      </c>
      <c r="E120" s="251" t="s">
        <v>578</v>
      </c>
      <c r="F120" s="242" t="s">
        <v>467</v>
      </c>
      <c r="G120" s="242" t="s">
        <v>468</v>
      </c>
      <c r="H120" s="242"/>
      <c r="I120" s="242">
        <v>0</v>
      </c>
      <c r="J120" s="262">
        <v>153</v>
      </c>
      <c r="K120" s="311">
        <v>16.399999999999999</v>
      </c>
      <c r="L120" s="263">
        <f t="shared" si="1"/>
        <v>2509.1999999999998</v>
      </c>
    </row>
    <row r="121" spans="1:12" ht="15.75" x14ac:dyDescent="0.25">
      <c r="A121" s="7"/>
      <c r="B121" s="245">
        <v>45292</v>
      </c>
      <c r="C121" s="245">
        <v>45292</v>
      </c>
      <c r="D121" s="269">
        <v>813</v>
      </c>
      <c r="E121" s="251" t="s">
        <v>579</v>
      </c>
      <c r="F121" s="242" t="s">
        <v>467</v>
      </c>
      <c r="G121" s="242" t="s">
        <v>468</v>
      </c>
      <c r="H121" s="242"/>
      <c r="I121" s="242">
        <v>0</v>
      </c>
      <c r="J121" s="262">
        <v>81</v>
      </c>
      <c r="K121" s="311">
        <v>11.8</v>
      </c>
      <c r="L121" s="263">
        <f t="shared" si="1"/>
        <v>955.80000000000007</v>
      </c>
    </row>
    <row r="122" spans="1:12" ht="15.75" x14ac:dyDescent="0.25">
      <c r="A122" s="7"/>
      <c r="B122" s="245">
        <v>45292</v>
      </c>
      <c r="C122" s="245">
        <v>45292</v>
      </c>
      <c r="D122" s="269">
        <v>814</v>
      </c>
      <c r="E122" s="251" t="s">
        <v>580</v>
      </c>
      <c r="F122" s="242" t="s">
        <v>467</v>
      </c>
      <c r="G122" s="242" t="s">
        <v>468</v>
      </c>
      <c r="H122" s="242"/>
      <c r="I122" s="242">
        <v>0</v>
      </c>
      <c r="J122" s="262">
        <v>18</v>
      </c>
      <c r="K122" s="311">
        <v>7.26</v>
      </c>
      <c r="L122" s="263">
        <f t="shared" si="1"/>
        <v>130.68</v>
      </c>
    </row>
    <row r="123" spans="1:12" ht="15.75" x14ac:dyDescent="0.25">
      <c r="A123" s="7"/>
      <c r="B123" s="245">
        <v>45292</v>
      </c>
      <c r="C123" s="245">
        <v>45292</v>
      </c>
      <c r="D123" s="269">
        <v>1474</v>
      </c>
      <c r="E123" s="251" t="s">
        <v>581</v>
      </c>
      <c r="F123" s="242" t="s">
        <v>467</v>
      </c>
      <c r="G123" s="242" t="s">
        <v>468</v>
      </c>
      <c r="H123" s="242"/>
      <c r="I123" s="242">
        <v>0</v>
      </c>
      <c r="J123" s="262">
        <v>427</v>
      </c>
      <c r="K123" s="311">
        <v>7.26</v>
      </c>
      <c r="L123" s="263">
        <f t="shared" si="1"/>
        <v>3100.02</v>
      </c>
    </row>
    <row r="124" spans="1:12" ht="15.75" x14ac:dyDescent="0.25">
      <c r="A124" s="7"/>
      <c r="B124" s="245">
        <v>45292</v>
      </c>
      <c r="C124" s="245">
        <v>45292</v>
      </c>
      <c r="D124" s="269">
        <v>1383</v>
      </c>
      <c r="E124" s="251" t="s">
        <v>582</v>
      </c>
      <c r="F124" s="242" t="s">
        <v>467</v>
      </c>
      <c r="G124" s="242" t="s">
        <v>468</v>
      </c>
      <c r="H124" s="242"/>
      <c r="I124" s="242">
        <v>0</v>
      </c>
      <c r="J124" s="262">
        <v>2</v>
      </c>
      <c r="K124" s="311">
        <v>3318.49</v>
      </c>
      <c r="L124" s="263">
        <f t="shared" si="1"/>
        <v>6636.98</v>
      </c>
    </row>
    <row r="125" spans="1:12" ht="15.75" x14ac:dyDescent="0.25">
      <c r="A125" s="7"/>
      <c r="B125" s="245">
        <v>45292</v>
      </c>
      <c r="C125" s="245">
        <v>45292</v>
      </c>
      <c r="D125" s="269">
        <v>1384</v>
      </c>
      <c r="E125" s="251" t="s">
        <v>583</v>
      </c>
      <c r="F125" s="242" t="s">
        <v>467</v>
      </c>
      <c r="G125" s="242" t="s">
        <v>468</v>
      </c>
      <c r="H125" s="242"/>
      <c r="I125" s="242">
        <v>0</v>
      </c>
      <c r="J125" s="262">
        <v>17</v>
      </c>
      <c r="K125" s="311">
        <v>78.349999999999994</v>
      </c>
      <c r="L125" s="263">
        <f t="shared" si="1"/>
        <v>1331.9499999999998</v>
      </c>
    </row>
    <row r="126" spans="1:12" ht="15.75" x14ac:dyDescent="0.25">
      <c r="A126" s="7"/>
      <c r="B126" s="245">
        <v>45292</v>
      </c>
      <c r="C126" s="245">
        <v>45292</v>
      </c>
      <c r="D126" s="269">
        <v>1382</v>
      </c>
      <c r="E126" s="251" t="s">
        <v>584</v>
      </c>
      <c r="F126" s="242" t="s">
        <v>467</v>
      </c>
      <c r="G126" s="242" t="s">
        <v>468</v>
      </c>
      <c r="H126" s="242"/>
      <c r="I126" s="242">
        <v>0</v>
      </c>
      <c r="J126" s="262">
        <v>43</v>
      </c>
      <c r="K126" s="311">
        <v>3318.49</v>
      </c>
      <c r="L126" s="263">
        <f t="shared" si="1"/>
        <v>142695.06999999998</v>
      </c>
    </row>
    <row r="127" spans="1:12" ht="15.75" x14ac:dyDescent="0.25">
      <c r="A127" s="7"/>
      <c r="B127" s="245">
        <v>45292</v>
      </c>
      <c r="C127" s="245">
        <v>45292</v>
      </c>
      <c r="D127" s="269">
        <v>815</v>
      </c>
      <c r="E127" s="251" t="s">
        <v>585</v>
      </c>
      <c r="F127" s="242" t="s">
        <v>467</v>
      </c>
      <c r="G127" s="242" t="s">
        <v>468</v>
      </c>
      <c r="H127" s="242"/>
      <c r="I127" s="242">
        <v>170</v>
      </c>
      <c r="J127" s="262">
        <v>237</v>
      </c>
      <c r="K127" s="311">
        <v>129.80000000000001</v>
      </c>
      <c r="L127" s="263">
        <f t="shared" si="1"/>
        <v>30762.600000000002</v>
      </c>
    </row>
    <row r="128" spans="1:12" ht="15.75" x14ac:dyDescent="0.25">
      <c r="A128" s="7"/>
      <c r="B128" s="245">
        <v>45292</v>
      </c>
      <c r="C128" s="245">
        <v>45292</v>
      </c>
      <c r="D128" s="269">
        <v>820</v>
      </c>
      <c r="E128" s="251" t="s">
        <v>590</v>
      </c>
      <c r="F128" s="242" t="s">
        <v>467</v>
      </c>
      <c r="G128" s="242" t="s">
        <v>555</v>
      </c>
      <c r="H128" s="242">
        <v>4</v>
      </c>
      <c r="I128" s="242">
        <v>4</v>
      </c>
      <c r="J128" s="262">
        <v>3</v>
      </c>
      <c r="K128" s="311">
        <v>12680</v>
      </c>
      <c r="L128" s="263">
        <f t="shared" si="1"/>
        <v>38040</v>
      </c>
    </row>
    <row r="129" spans="1:12" ht="15.75" x14ac:dyDescent="0.25">
      <c r="A129" s="7"/>
      <c r="B129" s="245">
        <v>45292</v>
      </c>
      <c r="C129" s="245">
        <v>45292</v>
      </c>
      <c r="D129" s="269">
        <v>19011</v>
      </c>
      <c r="E129" s="251" t="s">
        <v>591</v>
      </c>
      <c r="F129" s="242" t="s">
        <v>467</v>
      </c>
      <c r="G129" s="242" t="s">
        <v>468</v>
      </c>
      <c r="H129" s="242"/>
      <c r="I129" s="242">
        <v>270</v>
      </c>
      <c r="J129" s="262">
        <v>2408</v>
      </c>
      <c r="K129" s="312">
        <v>550</v>
      </c>
      <c r="L129" s="263">
        <f t="shared" si="1"/>
        <v>1324400</v>
      </c>
    </row>
    <row r="130" spans="1:12" ht="15.75" x14ac:dyDescent="0.25">
      <c r="A130" s="7"/>
      <c r="B130" s="245">
        <v>45292</v>
      </c>
      <c r="C130" s="245">
        <v>45292</v>
      </c>
      <c r="D130" s="269">
        <v>10030</v>
      </c>
      <c r="E130" s="251" t="s">
        <v>592</v>
      </c>
      <c r="F130" s="242" t="s">
        <v>467</v>
      </c>
      <c r="G130" s="242" t="s">
        <v>468</v>
      </c>
      <c r="H130" s="242"/>
      <c r="I130" s="242">
        <v>0</v>
      </c>
      <c r="J130" s="262">
        <v>265</v>
      </c>
      <c r="K130" s="311">
        <v>1268.96</v>
      </c>
      <c r="L130" s="263">
        <f t="shared" si="1"/>
        <v>336274.4</v>
      </c>
    </row>
    <row r="131" spans="1:12" ht="15.75" x14ac:dyDescent="0.25">
      <c r="A131" s="7"/>
      <c r="B131" s="245">
        <v>45292</v>
      </c>
      <c r="C131" s="245">
        <v>45292</v>
      </c>
      <c r="D131" s="269">
        <v>5437</v>
      </c>
      <c r="E131" s="251" t="s">
        <v>596</v>
      </c>
      <c r="F131" s="242" t="s">
        <v>467</v>
      </c>
      <c r="G131" s="242" t="s">
        <v>468</v>
      </c>
      <c r="H131" s="242"/>
      <c r="I131" s="242">
        <v>0</v>
      </c>
      <c r="J131" s="262">
        <v>10</v>
      </c>
      <c r="K131" s="311">
        <v>32050.720000000001</v>
      </c>
      <c r="L131" s="263">
        <f t="shared" si="1"/>
        <v>320507.2</v>
      </c>
    </row>
    <row r="132" spans="1:12" ht="15.75" x14ac:dyDescent="0.25">
      <c r="A132" s="7"/>
      <c r="B132" s="245">
        <v>45292</v>
      </c>
      <c r="C132" s="245">
        <v>45292</v>
      </c>
      <c r="D132" s="269">
        <v>1441</v>
      </c>
      <c r="E132" s="251" t="s">
        <v>597</v>
      </c>
      <c r="F132" s="242" t="s">
        <v>467</v>
      </c>
      <c r="G132" s="242" t="s">
        <v>468</v>
      </c>
      <c r="H132" s="242"/>
      <c r="I132" s="242">
        <v>0</v>
      </c>
      <c r="J132" s="262">
        <v>6</v>
      </c>
      <c r="K132" s="312">
        <v>5487</v>
      </c>
      <c r="L132" s="263">
        <f t="shared" si="1"/>
        <v>32922</v>
      </c>
    </row>
    <row r="133" spans="1:12" ht="15.75" x14ac:dyDescent="0.25">
      <c r="A133" s="7"/>
      <c r="B133" s="245">
        <v>45292</v>
      </c>
      <c r="C133" s="245">
        <v>45292</v>
      </c>
      <c r="D133" s="269">
        <v>829</v>
      </c>
      <c r="E133" s="251" t="s">
        <v>598</v>
      </c>
      <c r="F133" s="242" t="s">
        <v>467</v>
      </c>
      <c r="G133" s="242" t="s">
        <v>468</v>
      </c>
      <c r="H133" s="242"/>
      <c r="I133" s="242">
        <v>3</v>
      </c>
      <c r="J133" s="262">
        <v>7</v>
      </c>
      <c r="K133" s="311">
        <v>6473.13</v>
      </c>
      <c r="L133" s="263">
        <f t="shared" si="1"/>
        <v>45311.91</v>
      </c>
    </row>
    <row r="134" spans="1:12" ht="15.75" x14ac:dyDescent="0.25">
      <c r="A134" s="7"/>
      <c r="B134" s="245">
        <v>45292</v>
      </c>
      <c r="C134" s="245">
        <v>45292</v>
      </c>
      <c r="D134" s="269">
        <v>824</v>
      </c>
      <c r="E134" s="251" t="s">
        <v>593</v>
      </c>
      <c r="F134" s="242" t="s">
        <v>470</v>
      </c>
      <c r="G134" s="242" t="s">
        <v>478</v>
      </c>
      <c r="H134" s="242"/>
      <c r="I134" s="242">
        <v>0</v>
      </c>
      <c r="J134" s="262">
        <v>300</v>
      </c>
      <c r="K134" s="311">
        <v>20.67</v>
      </c>
      <c r="L134" s="263">
        <f t="shared" si="1"/>
        <v>6201.0000000000009</v>
      </c>
    </row>
    <row r="135" spans="1:12" ht="15.75" x14ac:dyDescent="0.25">
      <c r="A135" s="7"/>
      <c r="B135" s="245">
        <v>45292</v>
      </c>
      <c r="C135" s="245">
        <v>45292</v>
      </c>
      <c r="D135" s="269">
        <v>825</v>
      </c>
      <c r="E135" s="251" t="s">
        <v>594</v>
      </c>
      <c r="F135" s="242" t="s">
        <v>470</v>
      </c>
      <c r="G135" s="242" t="s">
        <v>478</v>
      </c>
      <c r="H135" s="242"/>
      <c r="I135" s="242">
        <v>0</v>
      </c>
      <c r="J135" s="262">
        <v>300</v>
      </c>
      <c r="K135" s="312">
        <v>12</v>
      </c>
      <c r="L135" s="263">
        <f t="shared" si="1"/>
        <v>3600</v>
      </c>
    </row>
    <row r="136" spans="1:12" ht="15.75" x14ac:dyDescent="0.25">
      <c r="A136" s="7"/>
      <c r="B136" s="245">
        <v>45292</v>
      </c>
      <c r="C136" s="245">
        <v>45292</v>
      </c>
      <c r="D136" s="269">
        <v>826</v>
      </c>
      <c r="E136" s="251" t="s">
        <v>595</v>
      </c>
      <c r="F136" s="242" t="s">
        <v>470</v>
      </c>
      <c r="G136" s="242" t="s">
        <v>478</v>
      </c>
      <c r="H136" s="242"/>
      <c r="I136" s="242">
        <v>0</v>
      </c>
      <c r="J136" s="262">
        <v>100</v>
      </c>
      <c r="K136" s="311">
        <v>6.5</v>
      </c>
      <c r="L136" s="263">
        <f t="shared" si="1"/>
        <v>650</v>
      </c>
    </row>
    <row r="137" spans="1:12" ht="15.75" x14ac:dyDescent="0.25">
      <c r="A137" s="7"/>
      <c r="B137" s="245">
        <v>45292</v>
      </c>
      <c r="C137" s="245">
        <v>45292</v>
      </c>
      <c r="D137" s="269">
        <v>14297</v>
      </c>
      <c r="E137" s="251" t="s">
        <v>611</v>
      </c>
      <c r="F137" s="242" t="s">
        <v>470</v>
      </c>
      <c r="G137" s="242" t="s">
        <v>474</v>
      </c>
      <c r="H137" s="242"/>
      <c r="I137" s="242">
        <v>125</v>
      </c>
      <c r="J137" s="262">
        <v>175</v>
      </c>
      <c r="K137" s="311">
        <v>145</v>
      </c>
      <c r="L137" s="263">
        <f t="shared" si="1"/>
        <v>25375</v>
      </c>
    </row>
    <row r="138" spans="1:12" ht="15.75" x14ac:dyDescent="0.25">
      <c r="A138" s="7"/>
      <c r="B138" s="245">
        <v>45292</v>
      </c>
      <c r="C138" s="245">
        <v>45292</v>
      </c>
      <c r="D138" s="269">
        <v>830</v>
      </c>
      <c r="E138" s="251" t="s">
        <v>599</v>
      </c>
      <c r="F138" s="242" t="s">
        <v>467</v>
      </c>
      <c r="G138" s="242" t="s">
        <v>468</v>
      </c>
      <c r="H138" s="242"/>
      <c r="I138" s="242">
        <v>10</v>
      </c>
      <c r="J138" s="262">
        <v>51</v>
      </c>
      <c r="K138" s="311">
        <v>3435.3500000000004</v>
      </c>
      <c r="L138" s="263">
        <f t="shared" si="1"/>
        <v>175202.85</v>
      </c>
    </row>
    <row r="139" spans="1:12" ht="15.75" x14ac:dyDescent="0.25">
      <c r="A139" s="7"/>
      <c r="B139" s="245">
        <v>45292</v>
      </c>
      <c r="C139" s="245">
        <v>45292</v>
      </c>
      <c r="D139" s="269">
        <v>13342</v>
      </c>
      <c r="E139" s="251" t="s">
        <v>600</v>
      </c>
      <c r="F139" s="242" t="s">
        <v>467</v>
      </c>
      <c r="G139" s="242" t="s">
        <v>468</v>
      </c>
      <c r="H139" s="242"/>
      <c r="I139" s="242">
        <v>0</v>
      </c>
      <c r="J139" s="262">
        <v>11</v>
      </c>
      <c r="K139" s="312">
        <v>1563.5</v>
      </c>
      <c r="L139" s="263">
        <f t="shared" si="1"/>
        <v>17198.5</v>
      </c>
    </row>
    <row r="140" spans="1:12" ht="15.75" x14ac:dyDescent="0.25">
      <c r="A140" s="7"/>
      <c r="B140" s="245">
        <v>45292</v>
      </c>
      <c r="C140" s="245">
        <v>45292</v>
      </c>
      <c r="D140" s="269">
        <v>10937</v>
      </c>
      <c r="E140" s="251" t="s">
        <v>601</v>
      </c>
      <c r="F140" s="242" t="s">
        <v>467</v>
      </c>
      <c r="G140" s="242" t="s">
        <v>468</v>
      </c>
      <c r="H140" s="242"/>
      <c r="I140" s="242">
        <v>10</v>
      </c>
      <c r="J140" s="262">
        <v>77</v>
      </c>
      <c r="K140" s="312">
        <v>1593</v>
      </c>
      <c r="L140" s="263">
        <f t="shared" si="1"/>
        <v>122661</v>
      </c>
    </row>
    <row r="141" spans="1:12" ht="15.75" x14ac:dyDescent="0.25">
      <c r="A141" s="7"/>
      <c r="B141" s="245">
        <v>45292</v>
      </c>
      <c r="C141" s="245">
        <v>45292</v>
      </c>
      <c r="D141" s="269">
        <v>847</v>
      </c>
      <c r="E141" s="251" t="s">
        <v>612</v>
      </c>
      <c r="F141" s="242" t="s">
        <v>470</v>
      </c>
      <c r="G141" s="242" t="s">
        <v>480</v>
      </c>
      <c r="H141" s="242">
        <v>2500</v>
      </c>
      <c r="I141" s="242">
        <v>336</v>
      </c>
      <c r="J141" s="262">
        <v>2880</v>
      </c>
      <c r="K141" s="312">
        <v>600</v>
      </c>
      <c r="L141" s="263">
        <f t="shared" si="1"/>
        <v>1728000</v>
      </c>
    </row>
    <row r="142" spans="1:12" ht="15.75" x14ac:dyDescent="0.25">
      <c r="A142" s="7"/>
      <c r="B142" s="245">
        <v>45292</v>
      </c>
      <c r="C142" s="245">
        <v>45292</v>
      </c>
      <c r="D142" s="269">
        <v>853</v>
      </c>
      <c r="E142" s="251" t="s">
        <v>613</v>
      </c>
      <c r="F142" s="242" t="s">
        <v>470</v>
      </c>
      <c r="G142" s="242" t="s">
        <v>474</v>
      </c>
      <c r="H142" s="242"/>
      <c r="I142" s="242">
        <v>250</v>
      </c>
      <c r="J142" s="262">
        <v>400</v>
      </c>
      <c r="K142" s="312">
        <v>30</v>
      </c>
      <c r="L142" s="263">
        <f t="shared" ref="L142:L205" si="2">+K142*J142</f>
        <v>12000</v>
      </c>
    </row>
    <row r="143" spans="1:12" ht="15.75" x14ac:dyDescent="0.25">
      <c r="A143" s="7"/>
      <c r="B143" s="245">
        <v>45292</v>
      </c>
      <c r="C143" s="245">
        <v>45292</v>
      </c>
      <c r="D143" s="269">
        <v>865</v>
      </c>
      <c r="E143" s="251" t="s">
        <v>628</v>
      </c>
      <c r="F143" s="242" t="s">
        <v>470</v>
      </c>
      <c r="G143" s="242" t="s">
        <v>474</v>
      </c>
      <c r="H143" s="242"/>
      <c r="I143" s="242">
        <v>0</v>
      </c>
      <c r="J143" s="262">
        <v>200</v>
      </c>
      <c r="K143" s="311">
        <v>308</v>
      </c>
      <c r="L143" s="263">
        <f t="shared" si="2"/>
        <v>61600</v>
      </c>
    </row>
    <row r="144" spans="1:12" ht="15.75" x14ac:dyDescent="0.25">
      <c r="A144" s="7"/>
      <c r="B144" s="245">
        <v>45292</v>
      </c>
      <c r="C144" s="245">
        <v>45292</v>
      </c>
      <c r="D144" s="269">
        <v>834</v>
      </c>
      <c r="E144" s="251" t="s">
        <v>602</v>
      </c>
      <c r="F144" s="242" t="s">
        <v>467</v>
      </c>
      <c r="G144" s="242" t="s">
        <v>468</v>
      </c>
      <c r="H144" s="242"/>
      <c r="I144" s="242">
        <v>0</v>
      </c>
      <c r="J144" s="262">
        <v>20</v>
      </c>
      <c r="K144" s="312">
        <v>389.83</v>
      </c>
      <c r="L144" s="263">
        <f t="shared" si="2"/>
        <v>7796.5999999999995</v>
      </c>
    </row>
    <row r="145" spans="1:12" ht="15.75" x14ac:dyDescent="0.25">
      <c r="A145" s="7"/>
      <c r="B145" s="245">
        <v>45292</v>
      </c>
      <c r="C145" s="245">
        <v>45292</v>
      </c>
      <c r="D145" s="269">
        <v>836</v>
      </c>
      <c r="E145" s="251" t="s">
        <v>603</v>
      </c>
      <c r="F145" s="242" t="s">
        <v>467</v>
      </c>
      <c r="G145" s="242" t="s">
        <v>468</v>
      </c>
      <c r="H145" s="242"/>
      <c r="I145" s="242">
        <v>0</v>
      </c>
      <c r="J145" s="262">
        <v>100</v>
      </c>
      <c r="K145" s="312">
        <v>36.1</v>
      </c>
      <c r="L145" s="263">
        <f t="shared" si="2"/>
        <v>3610</v>
      </c>
    </row>
    <row r="146" spans="1:12" ht="15.75" x14ac:dyDescent="0.25">
      <c r="A146" s="7"/>
      <c r="B146" s="245">
        <v>45292</v>
      </c>
      <c r="C146" s="245">
        <v>45292</v>
      </c>
      <c r="D146" s="269">
        <v>837</v>
      </c>
      <c r="E146" s="251" t="s">
        <v>604</v>
      </c>
      <c r="F146" s="242" t="s">
        <v>467</v>
      </c>
      <c r="G146" s="242" t="s">
        <v>468</v>
      </c>
      <c r="H146" s="242"/>
      <c r="I146" s="242">
        <v>50</v>
      </c>
      <c r="J146" s="262">
        <v>350</v>
      </c>
      <c r="K146" s="312">
        <v>34.11</v>
      </c>
      <c r="L146" s="263">
        <f t="shared" si="2"/>
        <v>11938.5</v>
      </c>
    </row>
    <row r="147" spans="1:12" ht="15.75" x14ac:dyDescent="0.25">
      <c r="A147" s="7"/>
      <c r="B147" s="245">
        <v>45292</v>
      </c>
      <c r="C147" s="245">
        <v>45292</v>
      </c>
      <c r="D147" s="269">
        <v>838</v>
      </c>
      <c r="E147" s="251" t="s">
        <v>605</v>
      </c>
      <c r="F147" s="242" t="s">
        <v>467</v>
      </c>
      <c r="G147" s="242" t="s">
        <v>468</v>
      </c>
      <c r="H147" s="242"/>
      <c r="I147" s="242">
        <v>300</v>
      </c>
      <c r="J147" s="262">
        <v>2500</v>
      </c>
      <c r="K147" s="312">
        <v>48.97</v>
      </c>
      <c r="L147" s="263">
        <f t="shared" si="2"/>
        <v>122425</v>
      </c>
    </row>
    <row r="148" spans="1:12" ht="15.75" x14ac:dyDescent="0.25">
      <c r="A148" s="7"/>
      <c r="B148" s="245">
        <v>45292</v>
      </c>
      <c r="C148" s="245">
        <v>45292</v>
      </c>
      <c r="D148" s="269">
        <v>839</v>
      </c>
      <c r="E148" s="251" t="s">
        <v>606</v>
      </c>
      <c r="F148" s="242" t="s">
        <v>467</v>
      </c>
      <c r="G148" s="242" t="s">
        <v>468</v>
      </c>
      <c r="H148" s="242"/>
      <c r="I148" s="242">
        <v>200</v>
      </c>
      <c r="J148" s="262">
        <v>2850</v>
      </c>
      <c r="K148" s="312">
        <v>48.97</v>
      </c>
      <c r="L148" s="263">
        <f t="shared" si="2"/>
        <v>139564.5</v>
      </c>
    </row>
    <row r="149" spans="1:12" ht="15.75" x14ac:dyDescent="0.25">
      <c r="A149" s="7"/>
      <c r="B149" s="245">
        <v>45292</v>
      </c>
      <c r="C149" s="245">
        <v>45292</v>
      </c>
      <c r="D149" s="269">
        <v>840</v>
      </c>
      <c r="E149" s="251" t="s">
        <v>607</v>
      </c>
      <c r="F149" s="242" t="s">
        <v>467</v>
      </c>
      <c r="G149" s="242" t="s">
        <v>468</v>
      </c>
      <c r="H149" s="242"/>
      <c r="I149" s="242">
        <v>0</v>
      </c>
      <c r="J149" s="262">
        <v>400</v>
      </c>
      <c r="K149" s="312">
        <v>73.040000000000006</v>
      </c>
      <c r="L149" s="263">
        <f t="shared" si="2"/>
        <v>29216.000000000004</v>
      </c>
    </row>
    <row r="150" spans="1:12" ht="15.75" x14ac:dyDescent="0.25">
      <c r="A150" s="7"/>
      <c r="B150" s="245">
        <v>45292</v>
      </c>
      <c r="C150" s="245">
        <v>45292</v>
      </c>
      <c r="D150" s="269">
        <v>842</v>
      </c>
      <c r="E150" s="251" t="s">
        <v>608</v>
      </c>
      <c r="F150" s="242" t="s">
        <v>467</v>
      </c>
      <c r="G150" s="242" t="s">
        <v>468</v>
      </c>
      <c r="H150" s="242"/>
      <c r="I150" s="242">
        <v>0</v>
      </c>
      <c r="J150" s="262">
        <v>30</v>
      </c>
      <c r="K150" s="312">
        <v>5205.71</v>
      </c>
      <c r="L150" s="263">
        <f t="shared" si="2"/>
        <v>156171.29999999999</v>
      </c>
    </row>
    <row r="151" spans="1:12" ht="15.75" x14ac:dyDescent="0.25">
      <c r="A151" s="7"/>
      <c r="B151" s="245">
        <v>45292</v>
      </c>
      <c r="C151" s="245">
        <v>45292</v>
      </c>
      <c r="D151" s="269">
        <v>843</v>
      </c>
      <c r="E151" s="251" t="s">
        <v>609</v>
      </c>
      <c r="F151" s="242" t="s">
        <v>467</v>
      </c>
      <c r="G151" s="242" t="s">
        <v>468</v>
      </c>
      <c r="H151" s="242"/>
      <c r="I151" s="242">
        <v>0</v>
      </c>
      <c r="J151" s="262">
        <v>10</v>
      </c>
      <c r="K151" s="312">
        <v>2855.87</v>
      </c>
      <c r="L151" s="263">
        <f t="shared" si="2"/>
        <v>28558.699999999997</v>
      </c>
    </row>
    <row r="152" spans="1:12" ht="15.75" x14ac:dyDescent="0.25">
      <c r="A152" s="7"/>
      <c r="B152" s="245">
        <v>45292</v>
      </c>
      <c r="C152" s="245">
        <v>45292</v>
      </c>
      <c r="D152" s="269">
        <v>13166</v>
      </c>
      <c r="E152" s="251" t="s">
        <v>610</v>
      </c>
      <c r="F152" s="242" t="s">
        <v>467</v>
      </c>
      <c r="G152" s="242" t="s">
        <v>468</v>
      </c>
      <c r="H152" s="242"/>
      <c r="I152" s="242">
        <v>10</v>
      </c>
      <c r="J152" s="262">
        <v>10</v>
      </c>
      <c r="K152" s="312">
        <v>590.01</v>
      </c>
      <c r="L152" s="263">
        <f t="shared" si="2"/>
        <v>5900.1</v>
      </c>
    </row>
    <row r="153" spans="1:12" ht="15.75" x14ac:dyDescent="0.25">
      <c r="A153" s="7"/>
      <c r="B153" s="245">
        <v>45292</v>
      </c>
      <c r="C153" s="245">
        <v>45292</v>
      </c>
      <c r="D153" s="269">
        <v>849</v>
      </c>
      <c r="E153" s="251" t="s">
        <v>615</v>
      </c>
      <c r="F153" s="242" t="s">
        <v>467</v>
      </c>
      <c r="G153" s="242" t="s">
        <v>468</v>
      </c>
      <c r="H153" s="242"/>
      <c r="I153" s="242">
        <v>0</v>
      </c>
      <c r="J153" s="262">
        <v>22</v>
      </c>
      <c r="K153" s="312">
        <v>10384</v>
      </c>
      <c r="L153" s="263">
        <f t="shared" si="2"/>
        <v>228448</v>
      </c>
    </row>
    <row r="154" spans="1:12" ht="15.75" x14ac:dyDescent="0.25">
      <c r="A154" s="7"/>
      <c r="B154" s="245">
        <v>45292</v>
      </c>
      <c r="C154" s="245">
        <v>45292</v>
      </c>
      <c r="D154" s="269">
        <v>850</v>
      </c>
      <c r="E154" s="251" t="s">
        <v>616</v>
      </c>
      <c r="F154" s="242" t="s">
        <v>467</v>
      </c>
      <c r="G154" s="242" t="s">
        <v>468</v>
      </c>
      <c r="H154" s="242"/>
      <c r="I154" s="242">
        <v>0</v>
      </c>
      <c r="J154" s="262">
        <v>8</v>
      </c>
      <c r="K154" s="314">
        <v>17534.8</v>
      </c>
      <c r="L154" s="263">
        <f t="shared" si="2"/>
        <v>140278.39999999999</v>
      </c>
    </row>
    <row r="155" spans="1:12" ht="15.75" x14ac:dyDescent="0.25">
      <c r="A155" s="7"/>
      <c r="B155" s="245">
        <v>45292</v>
      </c>
      <c r="C155" s="245">
        <v>45292</v>
      </c>
      <c r="D155" s="269">
        <v>18590</v>
      </c>
      <c r="E155" s="251" t="s">
        <v>617</v>
      </c>
      <c r="F155" s="242" t="s">
        <v>467</v>
      </c>
      <c r="G155" s="242" t="s">
        <v>468</v>
      </c>
      <c r="H155" s="242"/>
      <c r="I155" s="242">
        <v>0</v>
      </c>
      <c r="J155" s="262">
        <v>2</v>
      </c>
      <c r="K155" s="312">
        <v>25958.27</v>
      </c>
      <c r="L155" s="263">
        <f t="shared" si="2"/>
        <v>51916.54</v>
      </c>
    </row>
    <row r="156" spans="1:12" ht="15.75" x14ac:dyDescent="0.25">
      <c r="A156" s="7"/>
      <c r="B156" s="245">
        <v>45292</v>
      </c>
      <c r="C156" s="245">
        <v>45292</v>
      </c>
      <c r="D156" s="269">
        <v>21194</v>
      </c>
      <c r="E156" s="251" t="s">
        <v>618</v>
      </c>
      <c r="F156" s="242" t="s">
        <v>467</v>
      </c>
      <c r="G156" s="242" t="s">
        <v>468</v>
      </c>
      <c r="H156" s="242"/>
      <c r="I156" s="242">
        <v>0</v>
      </c>
      <c r="J156" s="262">
        <v>8</v>
      </c>
      <c r="K156" s="311">
        <v>10089</v>
      </c>
      <c r="L156" s="263">
        <f t="shared" si="2"/>
        <v>80712</v>
      </c>
    </row>
    <row r="157" spans="1:12" ht="15.75" x14ac:dyDescent="0.25">
      <c r="A157" s="7"/>
      <c r="B157" s="245">
        <v>45292</v>
      </c>
      <c r="C157" s="245">
        <v>45292</v>
      </c>
      <c r="D157" s="269">
        <v>851</v>
      </c>
      <c r="E157" s="251" t="s">
        <v>619</v>
      </c>
      <c r="F157" s="242" t="s">
        <v>467</v>
      </c>
      <c r="G157" s="242" t="s">
        <v>468</v>
      </c>
      <c r="H157" s="242"/>
      <c r="I157" s="242">
        <v>540</v>
      </c>
      <c r="J157" s="262">
        <v>30</v>
      </c>
      <c r="K157" s="311">
        <v>51.33</v>
      </c>
      <c r="L157" s="263">
        <f t="shared" si="2"/>
        <v>1539.8999999999999</v>
      </c>
    </row>
    <row r="158" spans="1:12" ht="15.75" x14ac:dyDescent="0.25">
      <c r="A158" s="7"/>
      <c r="B158" s="245">
        <v>45292</v>
      </c>
      <c r="C158" s="245">
        <v>45292</v>
      </c>
      <c r="D158" s="269">
        <v>852</v>
      </c>
      <c r="E158" s="251" t="s">
        <v>620</v>
      </c>
      <c r="F158" s="242" t="s">
        <v>467</v>
      </c>
      <c r="G158" s="242" t="s">
        <v>468</v>
      </c>
      <c r="H158" s="242">
        <v>300</v>
      </c>
      <c r="I158" s="242">
        <v>96</v>
      </c>
      <c r="J158" s="262">
        <v>216</v>
      </c>
      <c r="K158" s="311">
        <v>124.02</v>
      </c>
      <c r="L158" s="263">
        <f t="shared" si="2"/>
        <v>26788.32</v>
      </c>
    </row>
    <row r="159" spans="1:12" ht="15.75" x14ac:dyDescent="0.25">
      <c r="A159" s="7"/>
      <c r="B159" s="245">
        <v>45292</v>
      </c>
      <c r="C159" s="245">
        <v>45292</v>
      </c>
      <c r="D159" s="269">
        <v>13699</v>
      </c>
      <c r="E159" s="251" t="s">
        <v>621</v>
      </c>
      <c r="F159" s="242" t="s">
        <v>467</v>
      </c>
      <c r="G159" s="242" t="s">
        <v>468</v>
      </c>
      <c r="H159" s="242"/>
      <c r="I159" s="242">
        <v>20</v>
      </c>
      <c r="J159" s="262">
        <v>200</v>
      </c>
      <c r="K159" s="311">
        <v>1100</v>
      </c>
      <c r="L159" s="263">
        <f t="shared" si="2"/>
        <v>220000</v>
      </c>
    </row>
    <row r="160" spans="1:12" ht="15.75" x14ac:dyDescent="0.25">
      <c r="A160" s="7"/>
      <c r="B160" s="245">
        <v>45292</v>
      </c>
      <c r="C160" s="245">
        <v>45292</v>
      </c>
      <c r="D160" s="269">
        <v>4941</v>
      </c>
      <c r="E160" s="251" t="s">
        <v>629</v>
      </c>
      <c r="F160" s="242" t="s">
        <v>470</v>
      </c>
      <c r="G160" s="242" t="s">
        <v>474</v>
      </c>
      <c r="H160" s="242"/>
      <c r="I160" s="242">
        <v>20</v>
      </c>
      <c r="J160" s="262">
        <v>230</v>
      </c>
      <c r="K160" s="312">
        <v>112</v>
      </c>
      <c r="L160" s="263">
        <f t="shared" si="2"/>
        <v>25760</v>
      </c>
    </row>
    <row r="161" spans="1:12" ht="15.75" x14ac:dyDescent="0.25">
      <c r="A161" s="7"/>
      <c r="B161" s="245">
        <v>45292</v>
      </c>
      <c r="C161" s="245">
        <v>45292</v>
      </c>
      <c r="D161" s="269">
        <v>4087</v>
      </c>
      <c r="E161" s="251" t="s">
        <v>972</v>
      </c>
      <c r="F161" s="242" t="s">
        <v>469</v>
      </c>
      <c r="G161" s="242" t="s">
        <v>468</v>
      </c>
      <c r="H161" s="242"/>
      <c r="I161" s="242">
        <v>282</v>
      </c>
      <c r="J161" s="262">
        <v>656</v>
      </c>
      <c r="K161" s="311">
        <v>1180</v>
      </c>
      <c r="L161" s="263">
        <f t="shared" si="2"/>
        <v>774080</v>
      </c>
    </row>
    <row r="162" spans="1:12" ht="15.75" x14ac:dyDescent="0.25">
      <c r="A162" s="7"/>
      <c r="B162" s="245">
        <v>45292</v>
      </c>
      <c r="C162" s="245">
        <v>45292</v>
      </c>
      <c r="D162" s="269">
        <v>877</v>
      </c>
      <c r="E162" s="251" t="s">
        <v>633</v>
      </c>
      <c r="F162" s="242" t="s">
        <v>470</v>
      </c>
      <c r="G162" s="242" t="s">
        <v>474</v>
      </c>
      <c r="H162" s="242"/>
      <c r="I162" s="242">
        <v>0</v>
      </c>
      <c r="J162" s="262">
        <v>100</v>
      </c>
      <c r="K162" s="311">
        <v>350</v>
      </c>
      <c r="L162" s="263">
        <f t="shared" si="2"/>
        <v>35000</v>
      </c>
    </row>
    <row r="163" spans="1:12" ht="15.75" x14ac:dyDescent="0.25">
      <c r="A163" s="7"/>
      <c r="B163" s="245">
        <v>45292</v>
      </c>
      <c r="C163" s="245">
        <v>45292</v>
      </c>
      <c r="D163" s="269">
        <v>15842</v>
      </c>
      <c r="E163" s="251" t="s">
        <v>614</v>
      </c>
      <c r="F163" s="242" t="s">
        <v>523</v>
      </c>
      <c r="G163" s="242" t="s">
        <v>480</v>
      </c>
      <c r="H163" s="242"/>
      <c r="I163" s="242">
        <v>21</v>
      </c>
      <c r="J163" s="262">
        <v>56</v>
      </c>
      <c r="K163" s="312">
        <v>1779.4</v>
      </c>
      <c r="L163" s="263">
        <f t="shared" si="2"/>
        <v>99646.400000000009</v>
      </c>
    </row>
    <row r="164" spans="1:12" ht="15.75" x14ac:dyDescent="0.25">
      <c r="A164" s="7"/>
      <c r="B164" s="245">
        <v>45292</v>
      </c>
      <c r="C164" s="245">
        <v>45292</v>
      </c>
      <c r="D164" s="269">
        <v>16684</v>
      </c>
      <c r="E164" s="251" t="s">
        <v>2375</v>
      </c>
      <c r="F164" s="242" t="s">
        <v>523</v>
      </c>
      <c r="G164" s="242" t="s">
        <v>468</v>
      </c>
      <c r="H164" s="242"/>
      <c r="I164" s="242">
        <v>17</v>
      </c>
      <c r="J164" s="262">
        <v>59</v>
      </c>
      <c r="K164" s="312">
        <v>2158.58</v>
      </c>
      <c r="L164" s="263">
        <f t="shared" si="2"/>
        <v>127356.22</v>
      </c>
    </row>
    <row r="165" spans="1:12" ht="15.75" x14ac:dyDescent="0.25">
      <c r="A165" s="7"/>
      <c r="B165" s="245">
        <v>45292</v>
      </c>
      <c r="C165" s="245">
        <v>45292</v>
      </c>
      <c r="D165" s="269">
        <v>856</v>
      </c>
      <c r="E165" s="251" t="s">
        <v>622</v>
      </c>
      <c r="F165" s="242" t="s">
        <v>467</v>
      </c>
      <c r="G165" s="242" t="s">
        <v>468</v>
      </c>
      <c r="H165" s="242"/>
      <c r="I165" s="242">
        <v>0</v>
      </c>
      <c r="J165" s="262">
        <v>48</v>
      </c>
      <c r="K165" s="313">
        <v>590</v>
      </c>
      <c r="L165" s="263">
        <f t="shared" si="2"/>
        <v>28320</v>
      </c>
    </row>
    <row r="166" spans="1:12" ht="15.75" x14ac:dyDescent="0.25">
      <c r="A166" s="7"/>
      <c r="B166" s="245">
        <v>45292</v>
      </c>
      <c r="C166" s="245">
        <v>45292</v>
      </c>
      <c r="D166" s="269">
        <v>7599</v>
      </c>
      <c r="E166" s="251" t="s">
        <v>623</v>
      </c>
      <c r="F166" s="242" t="s">
        <v>467</v>
      </c>
      <c r="G166" s="242" t="s">
        <v>468</v>
      </c>
      <c r="H166" s="242"/>
      <c r="I166" s="242">
        <v>0</v>
      </c>
      <c r="J166" s="262">
        <v>110</v>
      </c>
      <c r="K166" s="313">
        <v>2000</v>
      </c>
      <c r="L166" s="263">
        <f t="shared" si="2"/>
        <v>220000</v>
      </c>
    </row>
    <row r="167" spans="1:12" ht="15.75" x14ac:dyDescent="0.25">
      <c r="A167" s="7"/>
      <c r="B167" s="245">
        <v>45292</v>
      </c>
      <c r="C167" s="245">
        <v>45292</v>
      </c>
      <c r="D167" s="269">
        <v>857</v>
      </c>
      <c r="E167" s="251" t="s">
        <v>1967</v>
      </c>
      <c r="F167" s="242" t="s">
        <v>467</v>
      </c>
      <c r="G167" s="242" t="s">
        <v>468</v>
      </c>
      <c r="H167" s="242"/>
      <c r="I167" s="242">
        <v>14</v>
      </c>
      <c r="J167" s="262">
        <v>38</v>
      </c>
      <c r="K167" s="312">
        <v>472</v>
      </c>
      <c r="L167" s="263">
        <f t="shared" si="2"/>
        <v>17936</v>
      </c>
    </row>
    <row r="168" spans="1:12" ht="15.75" x14ac:dyDescent="0.25">
      <c r="A168" s="7"/>
      <c r="B168" s="245">
        <v>45321</v>
      </c>
      <c r="C168" s="245">
        <v>45321</v>
      </c>
      <c r="D168" s="269">
        <v>16359</v>
      </c>
      <c r="E168" s="251" t="s">
        <v>624</v>
      </c>
      <c r="F168" s="242" t="s">
        <v>467</v>
      </c>
      <c r="G168" s="242" t="s">
        <v>468</v>
      </c>
      <c r="H168" s="242">
        <v>100</v>
      </c>
      <c r="I168" s="242">
        <v>63</v>
      </c>
      <c r="J168" s="262">
        <v>90</v>
      </c>
      <c r="K168" s="313">
        <v>1410.1</v>
      </c>
      <c r="L168" s="263">
        <f t="shared" si="2"/>
        <v>126908.99999999999</v>
      </c>
    </row>
    <row r="169" spans="1:12" ht="15.75" x14ac:dyDescent="0.25">
      <c r="A169" s="7"/>
      <c r="B169" s="245">
        <v>45292</v>
      </c>
      <c r="C169" s="245">
        <v>45292</v>
      </c>
      <c r="D169" s="269">
        <v>861</v>
      </c>
      <c r="E169" s="251" t="s">
        <v>625</v>
      </c>
      <c r="F169" s="242" t="s">
        <v>467</v>
      </c>
      <c r="G169" s="242" t="s">
        <v>468</v>
      </c>
      <c r="H169" s="242"/>
      <c r="I169" s="242">
        <v>6</v>
      </c>
      <c r="J169" s="262">
        <v>30</v>
      </c>
      <c r="K169" s="312">
        <v>1197.7</v>
      </c>
      <c r="L169" s="263">
        <f t="shared" si="2"/>
        <v>35931</v>
      </c>
    </row>
    <row r="170" spans="1:12" ht="15.75" x14ac:dyDescent="0.25">
      <c r="A170" s="7"/>
      <c r="B170" s="245">
        <v>45292</v>
      </c>
      <c r="C170" s="245">
        <v>45292</v>
      </c>
      <c r="D170" s="269">
        <v>864</v>
      </c>
      <c r="E170" s="251" t="s">
        <v>626</v>
      </c>
      <c r="F170" s="242" t="s">
        <v>467</v>
      </c>
      <c r="G170" s="242" t="s">
        <v>468</v>
      </c>
      <c r="H170" s="242"/>
      <c r="I170" s="242">
        <v>8</v>
      </c>
      <c r="J170" s="262">
        <v>255</v>
      </c>
      <c r="K170" s="312">
        <v>1150.5</v>
      </c>
      <c r="L170" s="263">
        <f t="shared" si="2"/>
        <v>293377.5</v>
      </c>
    </row>
    <row r="171" spans="1:12" ht="15.75" x14ac:dyDescent="0.25">
      <c r="A171" s="7"/>
      <c r="B171" s="245">
        <v>45292</v>
      </c>
      <c r="C171" s="245">
        <v>45292</v>
      </c>
      <c r="D171" s="269">
        <v>10936</v>
      </c>
      <c r="E171" s="251" t="s">
        <v>627</v>
      </c>
      <c r="F171" s="242" t="s">
        <v>467</v>
      </c>
      <c r="G171" s="242" t="s">
        <v>468</v>
      </c>
      <c r="H171" s="242"/>
      <c r="I171" s="242">
        <v>0</v>
      </c>
      <c r="J171" s="262">
        <v>60</v>
      </c>
      <c r="K171" s="312">
        <v>554.6</v>
      </c>
      <c r="L171" s="263">
        <f t="shared" si="2"/>
        <v>33276</v>
      </c>
    </row>
    <row r="172" spans="1:12" ht="15.75" x14ac:dyDescent="0.25">
      <c r="A172" s="7"/>
      <c r="B172" s="245">
        <v>45292</v>
      </c>
      <c r="C172" s="245">
        <v>45292</v>
      </c>
      <c r="D172" s="269">
        <v>17353</v>
      </c>
      <c r="E172" s="251" t="s">
        <v>630</v>
      </c>
      <c r="F172" s="242" t="s">
        <v>467</v>
      </c>
      <c r="G172" s="242" t="s">
        <v>468</v>
      </c>
      <c r="H172" s="242"/>
      <c r="I172" s="242">
        <v>100</v>
      </c>
      <c r="J172" s="262">
        <v>100</v>
      </c>
      <c r="K172" s="311">
        <v>944</v>
      </c>
      <c r="L172" s="263">
        <f t="shared" si="2"/>
        <v>94400</v>
      </c>
    </row>
    <row r="173" spans="1:12" ht="15.75" x14ac:dyDescent="0.25">
      <c r="A173" s="7"/>
      <c r="B173" s="245">
        <v>45292</v>
      </c>
      <c r="C173" s="245">
        <v>45292</v>
      </c>
      <c r="D173" s="269">
        <v>6025</v>
      </c>
      <c r="E173" s="251" t="s">
        <v>631</v>
      </c>
      <c r="F173" s="242" t="s">
        <v>467</v>
      </c>
      <c r="G173" s="242" t="s">
        <v>468</v>
      </c>
      <c r="H173" s="242"/>
      <c r="I173" s="242">
        <v>0</v>
      </c>
      <c r="J173" s="262">
        <v>180</v>
      </c>
      <c r="K173" s="311">
        <v>480</v>
      </c>
      <c r="L173" s="263">
        <f t="shared" si="2"/>
        <v>86400</v>
      </c>
    </row>
    <row r="174" spans="1:12" ht="15.75" x14ac:dyDescent="0.25">
      <c r="A174" s="7"/>
      <c r="B174" s="245">
        <v>45292</v>
      </c>
      <c r="C174" s="245">
        <v>45292</v>
      </c>
      <c r="D174" s="269">
        <v>890</v>
      </c>
      <c r="E174" s="251" t="s">
        <v>635</v>
      </c>
      <c r="F174" s="242" t="s">
        <v>467</v>
      </c>
      <c r="G174" s="242" t="s">
        <v>468</v>
      </c>
      <c r="H174" s="242"/>
      <c r="I174" s="242">
        <v>0</v>
      </c>
      <c r="J174" s="262">
        <v>20</v>
      </c>
      <c r="K174" s="311">
        <v>20.41</v>
      </c>
      <c r="L174" s="263">
        <f t="shared" si="2"/>
        <v>408.2</v>
      </c>
    </row>
    <row r="175" spans="1:12" ht="15.75" x14ac:dyDescent="0.25">
      <c r="A175" s="7"/>
      <c r="B175" s="245">
        <v>45292</v>
      </c>
      <c r="C175" s="245">
        <v>45292</v>
      </c>
      <c r="D175" s="269">
        <v>7869</v>
      </c>
      <c r="E175" s="251" t="s">
        <v>636</v>
      </c>
      <c r="F175" s="242" t="s">
        <v>467</v>
      </c>
      <c r="G175" s="242" t="s">
        <v>468</v>
      </c>
      <c r="H175" s="242"/>
      <c r="I175" s="242">
        <v>20</v>
      </c>
      <c r="J175" s="262">
        <v>64</v>
      </c>
      <c r="K175" s="311">
        <v>973.5</v>
      </c>
      <c r="L175" s="263">
        <f t="shared" si="2"/>
        <v>62304</v>
      </c>
    </row>
    <row r="176" spans="1:12" ht="15.75" x14ac:dyDescent="0.25">
      <c r="A176" s="7"/>
      <c r="B176" s="245">
        <v>45292</v>
      </c>
      <c r="C176" s="245">
        <v>45292</v>
      </c>
      <c r="D176" s="269">
        <v>884</v>
      </c>
      <c r="E176" s="251" t="s">
        <v>1968</v>
      </c>
      <c r="F176" s="242" t="s">
        <v>469</v>
      </c>
      <c r="G176" s="242" t="s">
        <v>480</v>
      </c>
      <c r="H176" s="242"/>
      <c r="I176" s="242">
        <v>24</v>
      </c>
      <c r="J176" s="262">
        <v>156</v>
      </c>
      <c r="K176" s="312">
        <v>69.569999999999993</v>
      </c>
      <c r="L176" s="263">
        <f t="shared" si="2"/>
        <v>10852.919999999998</v>
      </c>
    </row>
    <row r="177" spans="1:12" ht="15.75" x14ac:dyDescent="0.25">
      <c r="A177" s="7"/>
      <c r="B177" s="245">
        <v>45292</v>
      </c>
      <c r="C177" s="245">
        <v>45292</v>
      </c>
      <c r="D177" s="269">
        <v>1532</v>
      </c>
      <c r="E177" s="251" t="s">
        <v>637</v>
      </c>
      <c r="F177" s="242" t="s">
        <v>467</v>
      </c>
      <c r="G177" s="242" t="s">
        <v>468</v>
      </c>
      <c r="H177" s="242"/>
      <c r="I177" s="242">
        <v>67</v>
      </c>
      <c r="J177" s="262">
        <v>258</v>
      </c>
      <c r="K177" s="312">
        <v>218.5</v>
      </c>
      <c r="L177" s="263">
        <f t="shared" si="2"/>
        <v>56373</v>
      </c>
    </row>
    <row r="178" spans="1:12" ht="15.75" x14ac:dyDescent="0.25">
      <c r="A178" s="7"/>
      <c r="B178" s="245">
        <v>45292</v>
      </c>
      <c r="C178" s="245">
        <v>45292</v>
      </c>
      <c r="D178" s="269">
        <v>895</v>
      </c>
      <c r="E178" s="251" t="s">
        <v>638</v>
      </c>
      <c r="F178" s="242" t="s">
        <v>467</v>
      </c>
      <c r="G178" s="242" t="s">
        <v>468</v>
      </c>
      <c r="H178" s="242"/>
      <c r="I178" s="242">
        <v>0</v>
      </c>
      <c r="J178" s="262">
        <v>89</v>
      </c>
      <c r="K178" s="312">
        <v>234.47</v>
      </c>
      <c r="L178" s="263">
        <f t="shared" si="2"/>
        <v>20867.829999999998</v>
      </c>
    </row>
    <row r="179" spans="1:12" ht="15.75" x14ac:dyDescent="0.25">
      <c r="A179" s="7"/>
      <c r="B179" s="245">
        <v>45292</v>
      </c>
      <c r="C179" s="245">
        <v>45292</v>
      </c>
      <c r="D179" s="269">
        <v>5853</v>
      </c>
      <c r="E179" s="251" t="s">
        <v>639</v>
      </c>
      <c r="F179" s="242" t="s">
        <v>467</v>
      </c>
      <c r="G179" s="242" t="s">
        <v>468</v>
      </c>
      <c r="H179" s="242"/>
      <c r="I179" s="242">
        <v>10</v>
      </c>
      <c r="J179" s="262">
        <v>135</v>
      </c>
      <c r="K179" s="312">
        <v>337.03</v>
      </c>
      <c r="L179" s="263">
        <f t="shared" si="2"/>
        <v>45499.049999999996</v>
      </c>
    </row>
    <row r="180" spans="1:12" ht="15.75" x14ac:dyDescent="0.25">
      <c r="A180" s="7"/>
      <c r="B180" s="245">
        <v>45292</v>
      </c>
      <c r="C180" s="245">
        <v>45292</v>
      </c>
      <c r="D180" s="269">
        <v>5647</v>
      </c>
      <c r="E180" s="251" t="s">
        <v>640</v>
      </c>
      <c r="F180" s="242" t="s">
        <v>467</v>
      </c>
      <c r="G180" s="242" t="s">
        <v>468</v>
      </c>
      <c r="H180" s="242"/>
      <c r="I180" s="242">
        <v>0</v>
      </c>
      <c r="J180" s="262">
        <v>6</v>
      </c>
      <c r="K180" s="311">
        <v>4023.1</v>
      </c>
      <c r="L180" s="263">
        <f t="shared" si="2"/>
        <v>24138.6</v>
      </c>
    </row>
    <row r="181" spans="1:12" ht="15.75" x14ac:dyDescent="0.25">
      <c r="A181" s="7"/>
      <c r="B181" s="245">
        <v>45292</v>
      </c>
      <c r="C181" s="245">
        <v>45292</v>
      </c>
      <c r="D181" s="269">
        <v>894</v>
      </c>
      <c r="E181" s="251" t="s">
        <v>2376</v>
      </c>
      <c r="F181" s="242" t="s">
        <v>470</v>
      </c>
      <c r="G181" s="242" t="s">
        <v>474</v>
      </c>
      <c r="H181" s="242"/>
      <c r="I181" s="242">
        <v>70</v>
      </c>
      <c r="J181" s="262">
        <v>60</v>
      </c>
      <c r="K181" s="312">
        <v>50</v>
      </c>
      <c r="L181" s="263">
        <f t="shared" si="2"/>
        <v>3000</v>
      </c>
    </row>
    <row r="182" spans="1:12" ht="15.75" x14ac:dyDescent="0.25">
      <c r="A182" s="7"/>
      <c r="B182" s="245">
        <v>45292</v>
      </c>
      <c r="C182" s="245">
        <v>45292</v>
      </c>
      <c r="D182" s="269">
        <v>5662</v>
      </c>
      <c r="E182" s="251" t="s">
        <v>655</v>
      </c>
      <c r="F182" s="242" t="s">
        <v>470</v>
      </c>
      <c r="G182" s="242" t="s">
        <v>468</v>
      </c>
      <c r="H182" s="242"/>
      <c r="I182" s="242">
        <v>2</v>
      </c>
      <c r="J182" s="262">
        <v>24</v>
      </c>
      <c r="K182" s="314">
        <v>1665.95</v>
      </c>
      <c r="L182" s="263">
        <f t="shared" si="2"/>
        <v>39982.800000000003</v>
      </c>
    </row>
    <row r="183" spans="1:12" ht="15.75" x14ac:dyDescent="0.25">
      <c r="A183" s="7"/>
      <c r="B183" s="245">
        <v>45292</v>
      </c>
      <c r="C183" s="245">
        <v>45292</v>
      </c>
      <c r="D183" s="269">
        <v>898</v>
      </c>
      <c r="E183" s="251" t="s">
        <v>641</v>
      </c>
      <c r="F183" s="242" t="s">
        <v>467</v>
      </c>
      <c r="G183" s="242" t="s">
        <v>468</v>
      </c>
      <c r="H183" s="242"/>
      <c r="I183" s="242">
        <v>4</v>
      </c>
      <c r="J183" s="262">
        <v>86</v>
      </c>
      <c r="K183" s="311">
        <v>155</v>
      </c>
      <c r="L183" s="263">
        <f t="shared" si="2"/>
        <v>13330</v>
      </c>
    </row>
    <row r="184" spans="1:12" ht="15.75" x14ac:dyDescent="0.25">
      <c r="A184" s="7"/>
      <c r="B184" s="245">
        <v>45292</v>
      </c>
      <c r="C184" s="245">
        <v>45292</v>
      </c>
      <c r="D184" s="269">
        <v>899</v>
      </c>
      <c r="E184" s="251" t="s">
        <v>642</v>
      </c>
      <c r="F184" s="242" t="s">
        <v>467</v>
      </c>
      <c r="G184" s="242" t="s">
        <v>643</v>
      </c>
      <c r="H184" s="242"/>
      <c r="I184" s="242">
        <v>2650</v>
      </c>
      <c r="J184" s="262">
        <v>5650</v>
      </c>
      <c r="K184" s="312">
        <v>17.990000000000002</v>
      </c>
      <c r="L184" s="263">
        <f t="shared" si="2"/>
        <v>101643.50000000001</v>
      </c>
    </row>
    <row r="185" spans="1:12" ht="15.75" x14ac:dyDescent="0.25">
      <c r="A185" s="7"/>
      <c r="B185" s="245">
        <v>45292</v>
      </c>
      <c r="C185" s="245">
        <v>45292</v>
      </c>
      <c r="D185" s="269">
        <v>913</v>
      </c>
      <c r="E185" s="251" t="s">
        <v>656</v>
      </c>
      <c r="F185" s="242" t="s">
        <v>470</v>
      </c>
      <c r="G185" s="242" t="s">
        <v>474</v>
      </c>
      <c r="H185" s="242"/>
      <c r="I185" s="242">
        <v>4</v>
      </c>
      <c r="J185" s="262">
        <v>33</v>
      </c>
      <c r="K185" s="312">
        <v>959.2</v>
      </c>
      <c r="L185" s="263">
        <f t="shared" si="2"/>
        <v>31653.600000000002</v>
      </c>
    </row>
    <row r="186" spans="1:12" ht="15.75" x14ac:dyDescent="0.25">
      <c r="A186" s="7"/>
      <c r="B186" s="245">
        <v>45292</v>
      </c>
      <c r="C186" s="245">
        <v>45292</v>
      </c>
      <c r="D186" s="269">
        <v>917</v>
      </c>
      <c r="E186" s="251" t="s">
        <v>657</v>
      </c>
      <c r="F186" s="242" t="s">
        <v>470</v>
      </c>
      <c r="G186" s="242" t="s">
        <v>468</v>
      </c>
      <c r="H186" s="242"/>
      <c r="I186" s="242">
        <v>1000</v>
      </c>
      <c r="J186" s="262">
        <v>4800</v>
      </c>
      <c r="K186" s="311">
        <v>18</v>
      </c>
      <c r="L186" s="263">
        <f t="shared" si="2"/>
        <v>86400</v>
      </c>
    </row>
    <row r="187" spans="1:12" ht="15.75" x14ac:dyDescent="0.25">
      <c r="A187" s="7"/>
      <c r="B187" s="245">
        <v>45292</v>
      </c>
      <c r="C187" s="245">
        <v>45292</v>
      </c>
      <c r="D187" s="269">
        <v>4922</v>
      </c>
      <c r="E187" s="251" t="s">
        <v>644</v>
      </c>
      <c r="F187" s="242" t="s">
        <v>467</v>
      </c>
      <c r="G187" s="242" t="s">
        <v>468</v>
      </c>
      <c r="H187" s="242"/>
      <c r="I187" s="242">
        <v>0</v>
      </c>
      <c r="J187" s="262">
        <v>50</v>
      </c>
      <c r="K187" s="311">
        <v>273.76</v>
      </c>
      <c r="L187" s="263">
        <f t="shared" si="2"/>
        <v>13688</v>
      </c>
    </row>
    <row r="188" spans="1:12" ht="15.75" x14ac:dyDescent="0.25">
      <c r="A188" s="7"/>
      <c r="B188" s="245">
        <v>45292</v>
      </c>
      <c r="C188" s="245">
        <v>45292</v>
      </c>
      <c r="D188" s="269">
        <v>901</v>
      </c>
      <c r="E188" s="251" t="s">
        <v>645</v>
      </c>
      <c r="F188" s="242" t="s">
        <v>467</v>
      </c>
      <c r="G188" s="242" t="s">
        <v>468</v>
      </c>
      <c r="H188" s="242"/>
      <c r="I188" s="242">
        <v>30</v>
      </c>
      <c r="J188" s="262">
        <v>65</v>
      </c>
      <c r="K188" s="314">
        <v>621.86</v>
      </c>
      <c r="L188" s="263">
        <f t="shared" si="2"/>
        <v>40420.9</v>
      </c>
    </row>
    <row r="189" spans="1:12" ht="15.75" x14ac:dyDescent="0.25">
      <c r="A189" s="7"/>
      <c r="B189" s="245">
        <v>45292</v>
      </c>
      <c r="C189" s="245">
        <v>45292</v>
      </c>
      <c r="D189" s="269">
        <v>902</v>
      </c>
      <c r="E189" s="251" t="s">
        <v>646</v>
      </c>
      <c r="F189" s="242" t="s">
        <v>467</v>
      </c>
      <c r="G189" s="242" t="s">
        <v>468</v>
      </c>
      <c r="H189" s="242"/>
      <c r="I189" s="242">
        <v>24</v>
      </c>
      <c r="J189" s="262">
        <v>119</v>
      </c>
      <c r="K189" s="312">
        <v>1239</v>
      </c>
      <c r="L189" s="263">
        <f t="shared" si="2"/>
        <v>147441</v>
      </c>
    </row>
    <row r="190" spans="1:12" ht="15.75" x14ac:dyDescent="0.25">
      <c r="A190" s="7"/>
      <c r="B190" s="245">
        <v>45292</v>
      </c>
      <c r="C190" s="245">
        <v>45292</v>
      </c>
      <c r="D190" s="269">
        <v>953</v>
      </c>
      <c r="E190" s="251" t="s">
        <v>2377</v>
      </c>
      <c r="F190" s="242" t="s">
        <v>470</v>
      </c>
      <c r="G190" s="242" t="s">
        <v>474</v>
      </c>
      <c r="H190" s="242"/>
      <c r="I190" s="242">
        <v>100</v>
      </c>
      <c r="J190" s="262">
        <v>858</v>
      </c>
      <c r="K190" s="311">
        <v>96.4</v>
      </c>
      <c r="L190" s="263">
        <f t="shared" si="2"/>
        <v>82711.200000000012</v>
      </c>
    </row>
    <row r="191" spans="1:12" ht="15.75" x14ac:dyDescent="0.25">
      <c r="A191" s="7"/>
      <c r="B191" s="245">
        <v>45292</v>
      </c>
      <c r="C191" s="245">
        <v>45292</v>
      </c>
      <c r="D191" s="269">
        <v>903</v>
      </c>
      <c r="E191" s="251" t="s">
        <v>647</v>
      </c>
      <c r="F191" s="242" t="s">
        <v>467</v>
      </c>
      <c r="G191" s="242" t="s">
        <v>468</v>
      </c>
      <c r="H191" s="242"/>
      <c r="I191" s="242">
        <v>30</v>
      </c>
      <c r="J191" s="262">
        <v>66</v>
      </c>
      <c r="K191" s="312">
        <v>1024.23</v>
      </c>
      <c r="L191" s="263">
        <f t="shared" si="2"/>
        <v>67599.180000000008</v>
      </c>
    </row>
    <row r="192" spans="1:12" ht="15.75" x14ac:dyDescent="0.25">
      <c r="A192" s="7"/>
      <c r="B192" s="245">
        <v>45292</v>
      </c>
      <c r="C192" s="245">
        <v>45292</v>
      </c>
      <c r="D192" s="269">
        <v>1437</v>
      </c>
      <c r="E192" s="251" t="s">
        <v>648</v>
      </c>
      <c r="F192" s="242" t="s">
        <v>467</v>
      </c>
      <c r="G192" s="242" t="s">
        <v>468</v>
      </c>
      <c r="H192" s="242"/>
      <c r="I192" s="242">
        <v>0</v>
      </c>
      <c r="J192" s="262">
        <v>204</v>
      </c>
      <c r="K192" s="311">
        <v>731.6</v>
      </c>
      <c r="L192" s="263">
        <f t="shared" si="2"/>
        <v>149246.39999999999</v>
      </c>
    </row>
    <row r="193" spans="1:12" ht="15.75" x14ac:dyDescent="0.25">
      <c r="A193" s="7"/>
      <c r="B193" s="245">
        <v>45292</v>
      </c>
      <c r="C193" s="245">
        <v>45292</v>
      </c>
      <c r="D193" s="269">
        <v>910</v>
      </c>
      <c r="E193" s="251" t="s">
        <v>649</v>
      </c>
      <c r="F193" s="242" t="s">
        <v>467</v>
      </c>
      <c r="G193" s="242" t="s">
        <v>468</v>
      </c>
      <c r="H193" s="242"/>
      <c r="I193" s="242">
        <v>0</v>
      </c>
      <c r="J193" s="262">
        <v>123</v>
      </c>
      <c r="K193" s="312">
        <v>745.58</v>
      </c>
      <c r="L193" s="263">
        <f t="shared" si="2"/>
        <v>91706.340000000011</v>
      </c>
    </row>
    <row r="194" spans="1:12" ht="15.75" x14ac:dyDescent="0.25">
      <c r="A194" s="7"/>
      <c r="B194" s="245">
        <v>45292</v>
      </c>
      <c r="C194" s="245">
        <v>45292</v>
      </c>
      <c r="D194" s="269">
        <v>908</v>
      </c>
      <c r="E194" s="251" t="s">
        <v>650</v>
      </c>
      <c r="F194" s="242" t="s">
        <v>467</v>
      </c>
      <c r="G194" s="242" t="s">
        <v>468</v>
      </c>
      <c r="H194" s="242"/>
      <c r="I194" s="242">
        <v>3</v>
      </c>
      <c r="J194" s="262">
        <v>35</v>
      </c>
      <c r="K194" s="312">
        <v>472.82</v>
      </c>
      <c r="L194" s="263">
        <f t="shared" si="2"/>
        <v>16548.7</v>
      </c>
    </row>
    <row r="195" spans="1:12" ht="15.75" x14ac:dyDescent="0.25">
      <c r="A195" s="7"/>
      <c r="B195" s="245">
        <v>45292</v>
      </c>
      <c r="C195" s="245">
        <v>45292</v>
      </c>
      <c r="D195" s="269">
        <v>909</v>
      </c>
      <c r="E195" s="251" t="s">
        <v>651</v>
      </c>
      <c r="F195" s="242" t="s">
        <v>467</v>
      </c>
      <c r="G195" s="242" t="s">
        <v>468</v>
      </c>
      <c r="H195" s="242"/>
      <c r="I195" s="242">
        <v>0</v>
      </c>
      <c r="J195" s="262">
        <v>16</v>
      </c>
      <c r="K195" s="312">
        <v>511.38</v>
      </c>
      <c r="L195" s="263">
        <f t="shared" si="2"/>
        <v>8182.08</v>
      </c>
    </row>
    <row r="196" spans="1:12" ht="15.75" x14ac:dyDescent="0.25">
      <c r="A196" s="7"/>
      <c r="B196" s="245">
        <v>45292</v>
      </c>
      <c r="C196" s="245">
        <v>45292</v>
      </c>
      <c r="D196" s="269">
        <v>906</v>
      </c>
      <c r="E196" s="251" t="s">
        <v>652</v>
      </c>
      <c r="F196" s="242" t="s">
        <v>467</v>
      </c>
      <c r="G196" s="242" t="s">
        <v>468</v>
      </c>
      <c r="H196" s="242"/>
      <c r="I196" s="242">
        <v>4</v>
      </c>
      <c r="J196" s="262">
        <v>16</v>
      </c>
      <c r="K196" s="311">
        <v>1755</v>
      </c>
      <c r="L196" s="263">
        <f t="shared" si="2"/>
        <v>28080</v>
      </c>
    </row>
    <row r="197" spans="1:12" ht="15.75" x14ac:dyDescent="0.25">
      <c r="A197" s="7"/>
      <c r="B197" s="245">
        <v>45292</v>
      </c>
      <c r="C197" s="245">
        <v>45292</v>
      </c>
      <c r="D197" s="269">
        <v>905</v>
      </c>
      <c r="E197" s="251" t="s">
        <v>653</v>
      </c>
      <c r="F197" s="242" t="s">
        <v>467</v>
      </c>
      <c r="G197" s="242" t="s">
        <v>468</v>
      </c>
      <c r="H197" s="242"/>
      <c r="I197" s="242">
        <v>3</v>
      </c>
      <c r="J197" s="262">
        <v>36</v>
      </c>
      <c r="K197" s="311">
        <v>1755</v>
      </c>
      <c r="L197" s="263">
        <f t="shared" si="2"/>
        <v>63180</v>
      </c>
    </row>
    <row r="198" spans="1:12" ht="15.75" x14ac:dyDescent="0.25">
      <c r="A198" s="7"/>
      <c r="B198" s="245">
        <v>45292</v>
      </c>
      <c r="C198" s="245">
        <v>45292</v>
      </c>
      <c r="D198" s="269">
        <v>911</v>
      </c>
      <c r="E198" s="251" t="s">
        <v>654</v>
      </c>
      <c r="F198" s="242" t="s">
        <v>467</v>
      </c>
      <c r="G198" s="242" t="s">
        <v>468</v>
      </c>
      <c r="H198" s="242"/>
      <c r="I198" s="242">
        <v>2000</v>
      </c>
      <c r="J198" s="262">
        <v>3000</v>
      </c>
      <c r="K198" s="311">
        <v>0.8</v>
      </c>
      <c r="L198" s="263">
        <f t="shared" si="2"/>
        <v>2400</v>
      </c>
    </row>
    <row r="199" spans="1:12" ht="15.75" x14ac:dyDescent="0.25">
      <c r="A199" s="7"/>
      <c r="B199" s="245">
        <v>45292</v>
      </c>
      <c r="C199" s="245">
        <v>45292</v>
      </c>
      <c r="D199" s="269">
        <v>920</v>
      </c>
      <c r="E199" s="251" t="s">
        <v>658</v>
      </c>
      <c r="F199" s="242" t="s">
        <v>467</v>
      </c>
      <c r="G199" s="242" t="s">
        <v>483</v>
      </c>
      <c r="H199" s="242"/>
      <c r="I199" s="242">
        <v>5</v>
      </c>
      <c r="J199" s="262">
        <v>23</v>
      </c>
      <c r="K199" s="312">
        <v>1265.6199999999999</v>
      </c>
      <c r="L199" s="263">
        <f t="shared" si="2"/>
        <v>29109.26</v>
      </c>
    </row>
    <row r="200" spans="1:12" ht="15.75" x14ac:dyDescent="0.25">
      <c r="A200" s="7"/>
      <c r="B200" s="245">
        <v>45292</v>
      </c>
      <c r="C200" s="245">
        <v>45292</v>
      </c>
      <c r="D200" s="269">
        <v>921</v>
      </c>
      <c r="E200" s="251" t="s">
        <v>659</v>
      </c>
      <c r="F200" s="242" t="s">
        <v>467</v>
      </c>
      <c r="G200" s="242" t="s">
        <v>483</v>
      </c>
      <c r="H200" s="242"/>
      <c r="I200" s="242">
        <v>5</v>
      </c>
      <c r="J200" s="262">
        <v>49</v>
      </c>
      <c r="K200" s="313">
        <v>2875</v>
      </c>
      <c r="L200" s="263">
        <f t="shared" si="2"/>
        <v>140875</v>
      </c>
    </row>
    <row r="201" spans="1:12" ht="15.75" x14ac:dyDescent="0.25">
      <c r="A201" s="7"/>
      <c r="B201" s="245">
        <v>45292</v>
      </c>
      <c r="C201" s="245">
        <v>45292</v>
      </c>
      <c r="D201" s="269">
        <v>20603</v>
      </c>
      <c r="E201" s="251" t="s">
        <v>665</v>
      </c>
      <c r="F201" s="242" t="s">
        <v>467</v>
      </c>
      <c r="G201" s="242" t="s">
        <v>468</v>
      </c>
      <c r="H201" s="242"/>
      <c r="I201" s="242">
        <v>0</v>
      </c>
      <c r="J201" s="262">
        <v>130</v>
      </c>
      <c r="K201" s="312">
        <v>17110</v>
      </c>
      <c r="L201" s="263">
        <f t="shared" si="2"/>
        <v>2224300</v>
      </c>
    </row>
    <row r="202" spans="1:12" ht="15.75" x14ac:dyDescent="0.25">
      <c r="A202" s="7"/>
      <c r="B202" s="245">
        <v>45292</v>
      </c>
      <c r="C202" s="245">
        <v>45292</v>
      </c>
      <c r="D202" s="269">
        <v>12852</v>
      </c>
      <c r="E202" s="251" t="s">
        <v>666</v>
      </c>
      <c r="F202" s="242" t="s">
        <v>467</v>
      </c>
      <c r="G202" s="242" t="s">
        <v>468</v>
      </c>
      <c r="H202" s="242"/>
      <c r="I202" s="242">
        <v>0</v>
      </c>
      <c r="J202" s="262">
        <v>20</v>
      </c>
      <c r="K202" s="311">
        <v>60000</v>
      </c>
      <c r="L202" s="263">
        <f t="shared" si="2"/>
        <v>1200000</v>
      </c>
    </row>
    <row r="203" spans="1:12" ht="15.75" x14ac:dyDescent="0.25">
      <c r="A203" s="7"/>
      <c r="B203" s="245">
        <v>45292</v>
      </c>
      <c r="C203" s="245">
        <v>45292</v>
      </c>
      <c r="D203" s="269">
        <v>21238</v>
      </c>
      <c r="E203" s="251" t="s">
        <v>667</v>
      </c>
      <c r="F203" s="242" t="s">
        <v>467</v>
      </c>
      <c r="G203" s="242" t="s">
        <v>468</v>
      </c>
      <c r="H203" s="242"/>
      <c r="I203" s="242">
        <v>0</v>
      </c>
      <c r="J203" s="262">
        <v>8</v>
      </c>
      <c r="K203" s="311">
        <v>53979.06</v>
      </c>
      <c r="L203" s="263">
        <f t="shared" si="2"/>
        <v>431832.48</v>
      </c>
    </row>
    <row r="204" spans="1:12" ht="15.75" x14ac:dyDescent="0.25">
      <c r="A204" s="7"/>
      <c r="B204" s="245">
        <v>45292</v>
      </c>
      <c r="C204" s="245">
        <v>45292</v>
      </c>
      <c r="D204" s="269">
        <v>19176</v>
      </c>
      <c r="E204" s="251" t="s">
        <v>668</v>
      </c>
      <c r="F204" s="242" t="s">
        <v>467</v>
      </c>
      <c r="G204" s="242" t="s">
        <v>468</v>
      </c>
      <c r="H204" s="242"/>
      <c r="I204" s="242">
        <v>9</v>
      </c>
      <c r="J204" s="262">
        <v>14</v>
      </c>
      <c r="K204" s="312">
        <v>60000</v>
      </c>
      <c r="L204" s="263">
        <f t="shared" si="2"/>
        <v>840000</v>
      </c>
    </row>
    <row r="205" spans="1:12" ht="15.75" x14ac:dyDescent="0.25">
      <c r="A205" s="7"/>
      <c r="B205" s="245">
        <v>45292</v>
      </c>
      <c r="C205" s="245">
        <v>45292</v>
      </c>
      <c r="D205" s="269">
        <v>18806</v>
      </c>
      <c r="E205" s="251" t="s">
        <v>677</v>
      </c>
      <c r="F205" s="242" t="s">
        <v>467</v>
      </c>
      <c r="G205" s="242" t="s">
        <v>468</v>
      </c>
      <c r="H205" s="242"/>
      <c r="I205" s="242">
        <v>360</v>
      </c>
      <c r="J205" s="262">
        <v>1250</v>
      </c>
      <c r="K205" s="311">
        <v>70.8</v>
      </c>
      <c r="L205" s="263">
        <f t="shared" si="2"/>
        <v>88500</v>
      </c>
    </row>
    <row r="206" spans="1:12" ht="15.75" x14ac:dyDescent="0.25">
      <c r="A206" s="7"/>
      <c r="B206" s="245">
        <v>45292</v>
      </c>
      <c r="C206" s="245">
        <v>45292</v>
      </c>
      <c r="D206" s="269">
        <v>19177</v>
      </c>
      <c r="E206" s="251" t="s">
        <v>669</v>
      </c>
      <c r="F206" s="242" t="s">
        <v>467</v>
      </c>
      <c r="G206" s="242" t="s">
        <v>468</v>
      </c>
      <c r="H206" s="242"/>
      <c r="I206" s="242">
        <v>3</v>
      </c>
      <c r="J206" s="262">
        <v>26</v>
      </c>
      <c r="K206" s="311">
        <v>70000</v>
      </c>
      <c r="L206" s="263">
        <f t="shared" ref="L206:L269" si="3">+K206*J206</f>
        <v>1820000</v>
      </c>
    </row>
    <row r="207" spans="1:12" ht="15.75" x14ac:dyDescent="0.25">
      <c r="A207" s="7"/>
      <c r="B207" s="245">
        <v>45292</v>
      </c>
      <c r="C207" s="245">
        <v>45292</v>
      </c>
      <c r="D207" s="269">
        <v>932</v>
      </c>
      <c r="E207" s="251" t="s">
        <v>662</v>
      </c>
      <c r="F207" s="242" t="s">
        <v>470</v>
      </c>
      <c r="G207" s="242" t="s">
        <v>474</v>
      </c>
      <c r="H207" s="242"/>
      <c r="I207" s="242">
        <v>0</v>
      </c>
      <c r="J207" s="262">
        <v>100</v>
      </c>
      <c r="K207" s="314">
        <v>2.95</v>
      </c>
      <c r="L207" s="263">
        <f t="shared" si="3"/>
        <v>295</v>
      </c>
    </row>
    <row r="208" spans="1:12" ht="15.75" x14ac:dyDescent="0.25">
      <c r="A208" s="7"/>
      <c r="B208" s="245">
        <v>45292</v>
      </c>
      <c r="C208" s="245">
        <v>45292</v>
      </c>
      <c r="D208" s="269">
        <v>936</v>
      </c>
      <c r="E208" s="251" t="s">
        <v>663</v>
      </c>
      <c r="F208" s="242" t="s">
        <v>470</v>
      </c>
      <c r="G208" s="242" t="s">
        <v>474</v>
      </c>
      <c r="H208" s="242"/>
      <c r="I208" s="242">
        <v>0</v>
      </c>
      <c r="J208" s="262">
        <v>275</v>
      </c>
      <c r="K208" s="314">
        <v>110</v>
      </c>
      <c r="L208" s="263">
        <f t="shared" si="3"/>
        <v>30250</v>
      </c>
    </row>
    <row r="209" spans="1:12" ht="15.75" x14ac:dyDescent="0.25">
      <c r="A209" s="7"/>
      <c r="B209" s="245">
        <v>45292</v>
      </c>
      <c r="C209" s="245">
        <v>45292</v>
      </c>
      <c r="D209" s="269">
        <v>942</v>
      </c>
      <c r="E209" s="251" t="s">
        <v>664</v>
      </c>
      <c r="F209" s="242" t="s">
        <v>470</v>
      </c>
      <c r="G209" s="242" t="s">
        <v>474</v>
      </c>
      <c r="H209" s="242"/>
      <c r="I209" s="242">
        <v>0</v>
      </c>
      <c r="J209" s="262">
        <v>80</v>
      </c>
      <c r="K209" s="311">
        <v>275</v>
      </c>
      <c r="L209" s="263">
        <f t="shared" si="3"/>
        <v>22000</v>
      </c>
    </row>
    <row r="210" spans="1:12" ht="15.75" x14ac:dyDescent="0.25">
      <c r="A210" s="7"/>
      <c r="B210" s="245">
        <v>45292</v>
      </c>
      <c r="C210" s="245">
        <v>45292</v>
      </c>
      <c r="D210" s="269">
        <v>947</v>
      </c>
      <c r="E210" s="251" t="s">
        <v>2518</v>
      </c>
      <c r="F210" s="242" t="s">
        <v>470</v>
      </c>
      <c r="G210" s="242" t="s">
        <v>474</v>
      </c>
      <c r="H210" s="242">
        <v>400</v>
      </c>
      <c r="I210" s="242">
        <v>150</v>
      </c>
      <c r="J210" s="262">
        <v>250</v>
      </c>
      <c r="K210" s="312">
        <v>475</v>
      </c>
      <c r="L210" s="263">
        <f t="shared" si="3"/>
        <v>118750</v>
      </c>
    </row>
    <row r="211" spans="1:12" ht="15.75" x14ac:dyDescent="0.25">
      <c r="A211" s="7"/>
      <c r="B211" s="245">
        <v>45292</v>
      </c>
      <c r="C211" s="245">
        <v>45292</v>
      </c>
      <c r="D211" s="269">
        <v>949</v>
      </c>
      <c r="E211" s="251" t="s">
        <v>671</v>
      </c>
      <c r="F211" s="242" t="s">
        <v>470</v>
      </c>
      <c r="G211" s="242" t="s">
        <v>474</v>
      </c>
      <c r="H211" s="242"/>
      <c r="I211" s="242">
        <v>0</v>
      </c>
      <c r="J211" s="262">
        <v>33</v>
      </c>
      <c r="K211" s="311">
        <v>442.31</v>
      </c>
      <c r="L211" s="263">
        <f t="shared" si="3"/>
        <v>14596.23</v>
      </c>
    </row>
    <row r="212" spans="1:12" ht="15.75" x14ac:dyDescent="0.25">
      <c r="A212" s="7"/>
      <c r="B212" s="245">
        <v>45292</v>
      </c>
      <c r="C212" s="245">
        <v>45292</v>
      </c>
      <c r="D212" s="269">
        <v>1403</v>
      </c>
      <c r="E212" s="251" t="s">
        <v>1969</v>
      </c>
      <c r="F212" s="242" t="s">
        <v>467</v>
      </c>
      <c r="G212" s="242" t="s">
        <v>480</v>
      </c>
      <c r="H212" s="242"/>
      <c r="I212" s="242">
        <v>80</v>
      </c>
      <c r="J212" s="262">
        <v>5</v>
      </c>
      <c r="K212" s="311">
        <v>632.52</v>
      </c>
      <c r="L212" s="263">
        <f t="shared" si="3"/>
        <v>3162.6</v>
      </c>
    </row>
    <row r="213" spans="1:12" ht="15.75" x14ac:dyDescent="0.25">
      <c r="A213" s="7"/>
      <c r="B213" s="245">
        <v>45292</v>
      </c>
      <c r="C213" s="245">
        <v>45292</v>
      </c>
      <c r="D213" s="269">
        <v>12628</v>
      </c>
      <c r="E213" s="251" t="s">
        <v>670</v>
      </c>
      <c r="F213" s="242" t="s">
        <v>467</v>
      </c>
      <c r="G213" s="242" t="s">
        <v>468</v>
      </c>
      <c r="H213" s="242"/>
      <c r="I213" s="242">
        <v>0</v>
      </c>
      <c r="J213" s="262">
        <v>24</v>
      </c>
      <c r="K213" s="311">
        <v>1208.33</v>
      </c>
      <c r="L213" s="263">
        <f t="shared" si="3"/>
        <v>28999.919999999998</v>
      </c>
    </row>
    <row r="214" spans="1:12" ht="15.75" x14ac:dyDescent="0.25">
      <c r="A214" s="7"/>
      <c r="B214" s="245">
        <v>45292</v>
      </c>
      <c r="C214" s="245">
        <v>45292</v>
      </c>
      <c r="D214" s="269">
        <v>929</v>
      </c>
      <c r="E214" s="251" t="s">
        <v>660</v>
      </c>
      <c r="F214" s="242" t="s">
        <v>502</v>
      </c>
      <c r="G214" s="242" t="s">
        <v>474</v>
      </c>
      <c r="H214" s="242"/>
      <c r="I214" s="242">
        <v>0</v>
      </c>
      <c r="J214" s="262">
        <v>50</v>
      </c>
      <c r="K214" s="312">
        <v>95</v>
      </c>
      <c r="L214" s="263">
        <f t="shared" si="3"/>
        <v>4750</v>
      </c>
    </row>
    <row r="215" spans="1:12" ht="15.75" x14ac:dyDescent="0.25">
      <c r="A215" s="7"/>
      <c r="B215" s="245">
        <v>45292</v>
      </c>
      <c r="C215" s="245">
        <v>45292</v>
      </c>
      <c r="D215" s="269">
        <v>8491</v>
      </c>
      <c r="E215" s="251" t="s">
        <v>672</v>
      </c>
      <c r="F215" s="242" t="s">
        <v>470</v>
      </c>
      <c r="G215" s="242" t="s">
        <v>468</v>
      </c>
      <c r="H215" s="242"/>
      <c r="I215" s="242">
        <v>0</v>
      </c>
      <c r="J215" s="262">
        <v>260</v>
      </c>
      <c r="K215" s="311">
        <v>138</v>
      </c>
      <c r="L215" s="263">
        <f t="shared" si="3"/>
        <v>35880</v>
      </c>
    </row>
    <row r="216" spans="1:12" ht="15.75" x14ac:dyDescent="0.25">
      <c r="A216" s="7"/>
      <c r="B216" s="245">
        <v>45292</v>
      </c>
      <c r="C216" s="245">
        <v>45292</v>
      </c>
      <c r="D216" s="269">
        <v>9067</v>
      </c>
      <c r="E216" s="251" t="s">
        <v>1970</v>
      </c>
      <c r="F216" s="242" t="s">
        <v>467</v>
      </c>
      <c r="G216" s="242" t="s">
        <v>468</v>
      </c>
      <c r="H216" s="242"/>
      <c r="I216" s="242">
        <v>2550</v>
      </c>
      <c r="J216" s="262">
        <v>2250</v>
      </c>
      <c r="K216" s="311">
        <v>26.9</v>
      </c>
      <c r="L216" s="263">
        <f t="shared" si="3"/>
        <v>60525</v>
      </c>
    </row>
    <row r="217" spans="1:12" ht="15.75" x14ac:dyDescent="0.25">
      <c r="A217" s="7"/>
      <c r="B217" s="245">
        <v>45292</v>
      </c>
      <c r="C217" s="245">
        <v>45292</v>
      </c>
      <c r="D217" s="269">
        <v>954</v>
      </c>
      <c r="E217" s="251" t="s">
        <v>673</v>
      </c>
      <c r="F217" s="242" t="s">
        <v>470</v>
      </c>
      <c r="G217" s="242" t="s">
        <v>480</v>
      </c>
      <c r="H217" s="242"/>
      <c r="I217" s="242">
        <v>0</v>
      </c>
      <c r="J217" s="262">
        <v>92</v>
      </c>
      <c r="K217" s="312">
        <v>535.20000000000005</v>
      </c>
      <c r="L217" s="263">
        <f t="shared" si="3"/>
        <v>49238.400000000001</v>
      </c>
    </row>
    <row r="218" spans="1:12" ht="15.75" x14ac:dyDescent="0.25">
      <c r="A218" s="7"/>
      <c r="B218" s="245">
        <v>45292</v>
      </c>
      <c r="C218" s="245">
        <v>45292</v>
      </c>
      <c r="D218" s="269">
        <v>717</v>
      </c>
      <c r="E218" s="251" t="s">
        <v>2519</v>
      </c>
      <c r="F218" s="242" t="s">
        <v>470</v>
      </c>
      <c r="G218" s="242" t="s">
        <v>474</v>
      </c>
      <c r="H218" s="242">
        <v>1500</v>
      </c>
      <c r="I218" s="242">
        <v>200</v>
      </c>
      <c r="J218" s="262">
        <v>1300</v>
      </c>
      <c r="K218" s="311">
        <v>23.73</v>
      </c>
      <c r="L218" s="263">
        <f t="shared" si="3"/>
        <v>30849</v>
      </c>
    </row>
    <row r="219" spans="1:12" ht="15.75" x14ac:dyDescent="0.25">
      <c r="A219" s="7"/>
      <c r="B219" s="245">
        <v>45292</v>
      </c>
      <c r="C219" s="245">
        <v>45292</v>
      </c>
      <c r="D219" s="269">
        <v>15170</v>
      </c>
      <c r="E219" s="251" t="s">
        <v>675</v>
      </c>
      <c r="F219" s="242" t="s">
        <v>470</v>
      </c>
      <c r="G219" s="242" t="s">
        <v>468</v>
      </c>
      <c r="H219" s="242"/>
      <c r="I219" s="242">
        <v>230</v>
      </c>
      <c r="J219" s="262">
        <v>884</v>
      </c>
      <c r="K219" s="311">
        <v>287</v>
      </c>
      <c r="L219" s="263">
        <f t="shared" si="3"/>
        <v>253708</v>
      </c>
    </row>
    <row r="220" spans="1:12" ht="15.75" x14ac:dyDescent="0.25">
      <c r="A220" s="7"/>
      <c r="B220" s="245">
        <v>45292</v>
      </c>
      <c r="C220" s="245">
        <v>45292</v>
      </c>
      <c r="D220" s="269">
        <v>969</v>
      </c>
      <c r="E220" s="251" t="s">
        <v>2520</v>
      </c>
      <c r="F220" s="242" t="s">
        <v>470</v>
      </c>
      <c r="G220" s="242" t="s">
        <v>474</v>
      </c>
      <c r="H220" s="242">
        <v>300</v>
      </c>
      <c r="I220" s="242">
        <v>0</v>
      </c>
      <c r="J220" s="262">
        <v>300</v>
      </c>
      <c r="K220" s="312">
        <v>220</v>
      </c>
      <c r="L220" s="263">
        <f t="shared" si="3"/>
        <v>66000</v>
      </c>
    </row>
    <row r="221" spans="1:12" ht="15.75" x14ac:dyDescent="0.25">
      <c r="A221" s="7"/>
      <c r="B221" s="245">
        <v>45292</v>
      </c>
      <c r="C221" s="245">
        <v>45292</v>
      </c>
      <c r="D221" s="269">
        <v>5635</v>
      </c>
      <c r="E221" s="251" t="s">
        <v>676</v>
      </c>
      <c r="F221" s="242" t="s">
        <v>467</v>
      </c>
      <c r="G221" s="242" t="s">
        <v>468</v>
      </c>
      <c r="H221" s="242"/>
      <c r="I221" s="242">
        <v>0</v>
      </c>
      <c r="J221" s="262">
        <v>8</v>
      </c>
      <c r="K221" s="311">
        <v>648.30999999999995</v>
      </c>
      <c r="L221" s="263">
        <f t="shared" si="3"/>
        <v>5186.4799999999996</v>
      </c>
    </row>
    <row r="222" spans="1:12" ht="15.75" x14ac:dyDescent="0.25">
      <c r="A222" s="7"/>
      <c r="B222" s="245">
        <v>45292</v>
      </c>
      <c r="C222" s="245">
        <v>45292</v>
      </c>
      <c r="D222" s="269">
        <v>12802</v>
      </c>
      <c r="E222" s="251" t="s">
        <v>679</v>
      </c>
      <c r="F222" s="242" t="s">
        <v>467</v>
      </c>
      <c r="G222" s="242" t="s">
        <v>468</v>
      </c>
      <c r="H222" s="242"/>
      <c r="I222" s="242">
        <v>0</v>
      </c>
      <c r="J222" s="262">
        <v>50</v>
      </c>
      <c r="K222" s="272">
        <v>105.02</v>
      </c>
      <c r="L222" s="263">
        <f t="shared" si="3"/>
        <v>5251</v>
      </c>
    </row>
    <row r="223" spans="1:12" ht="15.75" x14ac:dyDescent="0.25">
      <c r="A223" s="7"/>
      <c r="B223" s="245">
        <v>45292</v>
      </c>
      <c r="C223" s="245">
        <v>45292</v>
      </c>
      <c r="D223" s="269">
        <v>2277</v>
      </c>
      <c r="E223" s="251" t="s">
        <v>680</v>
      </c>
      <c r="F223" s="242" t="s">
        <v>467</v>
      </c>
      <c r="G223" s="242" t="s">
        <v>468</v>
      </c>
      <c r="H223" s="242"/>
      <c r="I223" s="242">
        <v>0</v>
      </c>
      <c r="J223" s="262">
        <v>50</v>
      </c>
      <c r="K223" s="311">
        <v>330.4</v>
      </c>
      <c r="L223" s="263">
        <f t="shared" si="3"/>
        <v>16520</v>
      </c>
    </row>
    <row r="224" spans="1:12" ht="15.75" x14ac:dyDescent="0.25">
      <c r="A224" s="7"/>
      <c r="B224" s="245">
        <v>45292</v>
      </c>
      <c r="C224" s="245">
        <v>45292</v>
      </c>
      <c r="D224" s="269">
        <v>11277</v>
      </c>
      <c r="E224" s="251" t="s">
        <v>681</v>
      </c>
      <c r="F224" s="242" t="s">
        <v>467</v>
      </c>
      <c r="G224" s="242" t="s">
        <v>468</v>
      </c>
      <c r="H224" s="242"/>
      <c r="I224" s="242">
        <v>35</v>
      </c>
      <c r="J224" s="262">
        <v>5</v>
      </c>
      <c r="K224" s="312">
        <v>535</v>
      </c>
      <c r="L224" s="263">
        <f t="shared" si="3"/>
        <v>2675</v>
      </c>
    </row>
    <row r="225" spans="1:12" ht="15.75" x14ac:dyDescent="0.25">
      <c r="A225" s="7"/>
      <c r="B225" s="245">
        <v>45292</v>
      </c>
      <c r="C225" s="245">
        <v>45292</v>
      </c>
      <c r="D225" s="269">
        <v>975</v>
      </c>
      <c r="E225" s="251" t="s">
        <v>683</v>
      </c>
      <c r="F225" s="242" t="s">
        <v>467</v>
      </c>
      <c r="G225" s="242" t="s">
        <v>468</v>
      </c>
      <c r="H225" s="242"/>
      <c r="I225" s="242">
        <v>0</v>
      </c>
      <c r="J225" s="262">
        <v>4</v>
      </c>
      <c r="K225" s="311">
        <v>26361.200000000001</v>
      </c>
      <c r="L225" s="263">
        <f t="shared" si="3"/>
        <v>105444.8</v>
      </c>
    </row>
    <row r="226" spans="1:12" ht="15.75" x14ac:dyDescent="0.25">
      <c r="A226" s="7"/>
      <c r="B226" s="245">
        <v>45292</v>
      </c>
      <c r="C226" s="245">
        <v>45292</v>
      </c>
      <c r="D226" s="269">
        <v>4847</v>
      </c>
      <c r="E226" s="251" t="s">
        <v>688</v>
      </c>
      <c r="F226" s="242" t="s">
        <v>467</v>
      </c>
      <c r="G226" s="242" t="s">
        <v>468</v>
      </c>
      <c r="H226" s="242"/>
      <c r="I226" s="242">
        <v>600</v>
      </c>
      <c r="J226" s="262">
        <v>4800</v>
      </c>
      <c r="K226" s="311">
        <v>19.170000000000002</v>
      </c>
      <c r="L226" s="263">
        <f t="shared" si="3"/>
        <v>92016.000000000015</v>
      </c>
    </row>
    <row r="227" spans="1:12" ht="15.75" x14ac:dyDescent="0.25">
      <c r="A227" s="7"/>
      <c r="B227" s="245">
        <v>45292</v>
      </c>
      <c r="C227" s="245">
        <v>45292</v>
      </c>
      <c r="D227" s="269">
        <v>984</v>
      </c>
      <c r="E227" s="251" t="s">
        <v>689</v>
      </c>
      <c r="F227" s="242" t="s">
        <v>467</v>
      </c>
      <c r="G227" s="242" t="s">
        <v>468</v>
      </c>
      <c r="H227" s="242"/>
      <c r="I227" s="242">
        <v>600</v>
      </c>
      <c r="J227" s="262">
        <v>600</v>
      </c>
      <c r="K227" s="311">
        <v>13.05</v>
      </c>
      <c r="L227" s="263">
        <f t="shared" si="3"/>
        <v>7830</v>
      </c>
    </row>
    <row r="228" spans="1:12" ht="15.75" x14ac:dyDescent="0.25">
      <c r="A228" s="7"/>
      <c r="B228" s="245">
        <v>45292</v>
      </c>
      <c r="C228" s="245">
        <v>45292</v>
      </c>
      <c r="D228" s="269">
        <v>12694</v>
      </c>
      <c r="E228" s="251" t="s">
        <v>691</v>
      </c>
      <c r="F228" s="242" t="s">
        <v>467</v>
      </c>
      <c r="G228" s="242" t="s">
        <v>692</v>
      </c>
      <c r="H228" s="242"/>
      <c r="I228" s="242">
        <v>300</v>
      </c>
      <c r="J228" s="262">
        <v>100</v>
      </c>
      <c r="K228" s="311">
        <v>48</v>
      </c>
      <c r="L228" s="263">
        <f t="shared" si="3"/>
        <v>4800</v>
      </c>
    </row>
    <row r="229" spans="1:12" ht="15.75" x14ac:dyDescent="0.25">
      <c r="A229" s="7"/>
      <c r="B229" s="245">
        <v>45292</v>
      </c>
      <c r="C229" s="245">
        <v>45292</v>
      </c>
      <c r="D229" s="269">
        <v>974</v>
      </c>
      <c r="E229" s="251" t="s">
        <v>682</v>
      </c>
      <c r="F229" s="242" t="s">
        <v>470</v>
      </c>
      <c r="G229" s="242" t="s">
        <v>474</v>
      </c>
      <c r="H229" s="242"/>
      <c r="I229" s="242">
        <v>0</v>
      </c>
      <c r="J229" s="262">
        <v>166</v>
      </c>
      <c r="K229" s="312">
        <v>11</v>
      </c>
      <c r="L229" s="263">
        <f t="shared" si="3"/>
        <v>1826</v>
      </c>
    </row>
    <row r="230" spans="1:12" ht="15.75" x14ac:dyDescent="0.25">
      <c r="A230" s="7"/>
      <c r="B230" s="245">
        <v>45292</v>
      </c>
      <c r="C230" s="245">
        <v>45292</v>
      </c>
      <c r="D230" s="269">
        <v>976</v>
      </c>
      <c r="E230" s="251" t="s">
        <v>684</v>
      </c>
      <c r="F230" s="242" t="s">
        <v>470</v>
      </c>
      <c r="G230" s="242" t="s">
        <v>474</v>
      </c>
      <c r="H230" s="242"/>
      <c r="I230" s="242">
        <v>0</v>
      </c>
      <c r="J230" s="262">
        <v>26</v>
      </c>
      <c r="K230" s="313">
        <v>355.09</v>
      </c>
      <c r="L230" s="263">
        <f t="shared" si="3"/>
        <v>9232.34</v>
      </c>
    </row>
    <row r="231" spans="1:12" ht="15.75" x14ac:dyDescent="0.25">
      <c r="A231" s="7"/>
      <c r="B231" s="245">
        <v>45292</v>
      </c>
      <c r="C231" s="245">
        <v>45292</v>
      </c>
      <c r="D231" s="269">
        <v>4242</v>
      </c>
      <c r="E231" s="251" t="s">
        <v>685</v>
      </c>
      <c r="F231" s="242" t="s">
        <v>470</v>
      </c>
      <c r="G231" s="242" t="s">
        <v>474</v>
      </c>
      <c r="H231" s="242"/>
      <c r="I231" s="242">
        <v>0</v>
      </c>
      <c r="J231" s="262">
        <v>150</v>
      </c>
      <c r="K231" s="312">
        <v>372</v>
      </c>
      <c r="L231" s="263">
        <f t="shared" si="3"/>
        <v>55800</v>
      </c>
    </row>
    <row r="232" spans="1:12" ht="15.75" x14ac:dyDescent="0.25">
      <c r="A232" s="7"/>
      <c r="B232" s="245">
        <v>45292</v>
      </c>
      <c r="C232" s="245">
        <v>45292</v>
      </c>
      <c r="D232" s="269">
        <v>19806</v>
      </c>
      <c r="E232" s="251" t="s">
        <v>687</v>
      </c>
      <c r="F232" s="242" t="s">
        <v>470</v>
      </c>
      <c r="G232" s="242" t="s">
        <v>468</v>
      </c>
      <c r="H232" s="242"/>
      <c r="I232" s="242">
        <v>0</v>
      </c>
      <c r="J232" s="262">
        <v>50</v>
      </c>
      <c r="K232" s="312">
        <v>325</v>
      </c>
      <c r="L232" s="263">
        <f t="shared" si="3"/>
        <v>16250</v>
      </c>
    </row>
    <row r="233" spans="1:12" ht="15.75" x14ac:dyDescent="0.25">
      <c r="A233" s="7"/>
      <c r="B233" s="245">
        <v>45292</v>
      </c>
      <c r="C233" s="245">
        <v>45292</v>
      </c>
      <c r="D233" s="269">
        <v>986</v>
      </c>
      <c r="E233" s="251" t="s">
        <v>2521</v>
      </c>
      <c r="F233" s="242" t="s">
        <v>470</v>
      </c>
      <c r="G233" s="242" t="s">
        <v>474</v>
      </c>
      <c r="H233" s="242"/>
      <c r="I233" s="242">
        <v>400</v>
      </c>
      <c r="J233" s="262">
        <v>300</v>
      </c>
      <c r="K233" s="311">
        <v>180</v>
      </c>
      <c r="L233" s="263">
        <f t="shared" si="3"/>
        <v>54000</v>
      </c>
    </row>
    <row r="234" spans="1:12" ht="15.75" x14ac:dyDescent="0.25">
      <c r="A234" s="7"/>
      <c r="B234" s="245">
        <v>45292</v>
      </c>
      <c r="C234" s="245">
        <v>45292</v>
      </c>
      <c r="D234" s="269">
        <v>1433</v>
      </c>
      <c r="E234" s="251" t="s">
        <v>674</v>
      </c>
      <c r="F234" s="242" t="s">
        <v>523</v>
      </c>
      <c r="G234" s="242" t="s">
        <v>480</v>
      </c>
      <c r="H234" s="242"/>
      <c r="I234" s="242">
        <v>30</v>
      </c>
      <c r="J234" s="262">
        <v>209</v>
      </c>
      <c r="K234" s="311">
        <v>425.01</v>
      </c>
      <c r="L234" s="263">
        <f t="shared" si="3"/>
        <v>88827.09</v>
      </c>
    </row>
    <row r="235" spans="1:12" ht="15.75" x14ac:dyDescent="0.25">
      <c r="A235" s="7"/>
      <c r="B235" s="245">
        <v>45292</v>
      </c>
      <c r="C235" s="245">
        <v>45292</v>
      </c>
      <c r="D235" s="269">
        <v>6488</v>
      </c>
      <c r="E235" s="251" t="s">
        <v>694</v>
      </c>
      <c r="F235" s="242" t="s">
        <v>470</v>
      </c>
      <c r="G235" s="242" t="s">
        <v>474</v>
      </c>
      <c r="H235" s="242"/>
      <c r="I235" s="242">
        <v>200</v>
      </c>
      <c r="J235" s="262">
        <v>500</v>
      </c>
      <c r="K235" s="312">
        <v>30</v>
      </c>
      <c r="L235" s="263">
        <f t="shared" si="3"/>
        <v>15000</v>
      </c>
    </row>
    <row r="236" spans="1:12" ht="15.75" x14ac:dyDescent="0.25">
      <c r="A236" s="7"/>
      <c r="B236" s="245">
        <v>45292</v>
      </c>
      <c r="C236" s="245">
        <v>45292</v>
      </c>
      <c r="D236" s="269">
        <v>995</v>
      </c>
      <c r="E236" s="251" t="s">
        <v>696</v>
      </c>
      <c r="F236" s="242" t="s">
        <v>470</v>
      </c>
      <c r="G236" s="242" t="s">
        <v>474</v>
      </c>
      <c r="H236" s="242"/>
      <c r="I236" s="242">
        <v>100</v>
      </c>
      <c r="J236" s="262">
        <v>300</v>
      </c>
      <c r="K236" s="311">
        <v>125</v>
      </c>
      <c r="L236" s="263">
        <f t="shared" si="3"/>
        <v>37500</v>
      </c>
    </row>
    <row r="237" spans="1:12" ht="15.75" x14ac:dyDescent="0.25">
      <c r="A237" s="7"/>
      <c r="B237" s="245">
        <v>45292</v>
      </c>
      <c r="C237" s="245">
        <v>45292</v>
      </c>
      <c r="D237" s="269">
        <v>1017</v>
      </c>
      <c r="E237" s="251" t="s">
        <v>711</v>
      </c>
      <c r="F237" s="242" t="s">
        <v>470</v>
      </c>
      <c r="G237" s="242" t="s">
        <v>480</v>
      </c>
      <c r="H237" s="242">
        <v>100</v>
      </c>
      <c r="I237" s="242">
        <v>200</v>
      </c>
      <c r="J237" s="262">
        <v>260</v>
      </c>
      <c r="K237" s="311">
        <v>38</v>
      </c>
      <c r="L237" s="263">
        <f t="shared" si="3"/>
        <v>9880</v>
      </c>
    </row>
    <row r="238" spans="1:12" ht="15.75" x14ac:dyDescent="0.25">
      <c r="A238" s="7"/>
      <c r="B238" s="245">
        <v>45292</v>
      </c>
      <c r="C238" s="245">
        <v>45292</v>
      </c>
      <c r="D238" s="269">
        <v>13975</v>
      </c>
      <c r="E238" s="251" t="s">
        <v>712</v>
      </c>
      <c r="F238" s="242" t="s">
        <v>470</v>
      </c>
      <c r="G238" s="242" t="s">
        <v>478</v>
      </c>
      <c r="H238" s="242"/>
      <c r="I238" s="242">
        <v>0</v>
      </c>
      <c r="J238" s="262">
        <v>200</v>
      </c>
      <c r="K238" s="311">
        <v>0.66</v>
      </c>
      <c r="L238" s="263">
        <f t="shared" si="3"/>
        <v>132</v>
      </c>
    </row>
    <row r="239" spans="1:12" ht="15.75" x14ac:dyDescent="0.25">
      <c r="A239" s="7"/>
      <c r="B239" s="245">
        <v>45292</v>
      </c>
      <c r="C239" s="245">
        <v>45292</v>
      </c>
      <c r="D239" s="269">
        <v>1000</v>
      </c>
      <c r="E239" s="251" t="s">
        <v>697</v>
      </c>
      <c r="F239" s="242" t="s">
        <v>467</v>
      </c>
      <c r="G239" s="242" t="s">
        <v>468</v>
      </c>
      <c r="H239" s="242"/>
      <c r="I239" s="242">
        <v>600</v>
      </c>
      <c r="J239" s="262">
        <v>100</v>
      </c>
      <c r="K239" s="314">
        <v>3.6500000000000004</v>
      </c>
      <c r="L239" s="263">
        <f t="shared" si="3"/>
        <v>365.00000000000006</v>
      </c>
    </row>
    <row r="240" spans="1:12" ht="15.75" x14ac:dyDescent="0.25">
      <c r="A240" s="7"/>
      <c r="B240" s="245">
        <v>45292</v>
      </c>
      <c r="C240" s="245">
        <v>45292</v>
      </c>
      <c r="D240" s="269">
        <v>1021</v>
      </c>
      <c r="E240" s="251" t="s">
        <v>713</v>
      </c>
      <c r="F240" s="242" t="s">
        <v>470</v>
      </c>
      <c r="G240" s="242" t="s">
        <v>480</v>
      </c>
      <c r="H240" s="242">
        <v>200</v>
      </c>
      <c r="I240" s="242">
        <v>50</v>
      </c>
      <c r="J240" s="262">
        <v>1250</v>
      </c>
      <c r="K240" s="311">
        <v>65</v>
      </c>
      <c r="L240" s="263">
        <f t="shared" si="3"/>
        <v>81250</v>
      </c>
    </row>
    <row r="241" spans="1:12" ht="15.75" x14ac:dyDescent="0.25">
      <c r="A241" s="7"/>
      <c r="B241" s="245">
        <v>45292</v>
      </c>
      <c r="C241" s="245">
        <v>45292</v>
      </c>
      <c r="D241" s="269">
        <v>5429</v>
      </c>
      <c r="E241" s="251" t="s">
        <v>678</v>
      </c>
      <c r="F241" s="242" t="s">
        <v>502</v>
      </c>
      <c r="G241" s="242" t="s">
        <v>474</v>
      </c>
      <c r="H241" s="242"/>
      <c r="I241" s="242">
        <v>300</v>
      </c>
      <c r="J241" s="262">
        <v>100</v>
      </c>
      <c r="K241" s="312">
        <v>147.5</v>
      </c>
      <c r="L241" s="263">
        <f t="shared" si="3"/>
        <v>14750</v>
      </c>
    </row>
    <row r="242" spans="1:12" ht="15.75" x14ac:dyDescent="0.25">
      <c r="A242" s="7"/>
      <c r="B242" s="245">
        <v>45292</v>
      </c>
      <c r="C242" s="245">
        <v>45292</v>
      </c>
      <c r="D242" s="269">
        <v>999</v>
      </c>
      <c r="E242" s="251" t="s">
        <v>698</v>
      </c>
      <c r="F242" s="242" t="s">
        <v>467</v>
      </c>
      <c r="G242" s="242" t="s">
        <v>468</v>
      </c>
      <c r="H242" s="242">
        <v>4000</v>
      </c>
      <c r="I242" s="242">
        <v>1700</v>
      </c>
      <c r="J242" s="262">
        <v>2400</v>
      </c>
      <c r="K242" s="314">
        <v>1.94</v>
      </c>
      <c r="L242" s="263">
        <f t="shared" si="3"/>
        <v>4656</v>
      </c>
    </row>
    <row r="243" spans="1:12" ht="15.75" x14ac:dyDescent="0.25">
      <c r="A243" s="7"/>
      <c r="B243" s="245">
        <v>45292</v>
      </c>
      <c r="C243" s="245">
        <v>45292</v>
      </c>
      <c r="D243" s="269">
        <v>14281</v>
      </c>
      <c r="E243" s="251" t="s">
        <v>699</v>
      </c>
      <c r="F243" s="242" t="s">
        <v>467</v>
      </c>
      <c r="G243" s="242" t="s">
        <v>468</v>
      </c>
      <c r="H243" s="242"/>
      <c r="I243" s="242">
        <v>48</v>
      </c>
      <c r="J243" s="262">
        <v>220</v>
      </c>
      <c r="K243" s="312">
        <v>1298</v>
      </c>
      <c r="L243" s="263">
        <f t="shared" si="3"/>
        <v>285560</v>
      </c>
    </row>
    <row r="244" spans="1:12" ht="15.75" x14ac:dyDescent="0.25">
      <c r="A244" s="7"/>
      <c r="B244" s="245">
        <v>45292</v>
      </c>
      <c r="C244" s="245">
        <v>45292</v>
      </c>
      <c r="D244" s="269">
        <v>5908</v>
      </c>
      <c r="E244" s="251" t="s">
        <v>700</v>
      </c>
      <c r="F244" s="242" t="s">
        <v>467</v>
      </c>
      <c r="G244" s="242" t="s">
        <v>468</v>
      </c>
      <c r="H244" s="242"/>
      <c r="I244" s="242">
        <v>0</v>
      </c>
      <c r="J244" s="262">
        <v>15</v>
      </c>
      <c r="K244" s="311">
        <v>10057.76</v>
      </c>
      <c r="L244" s="263">
        <f t="shared" si="3"/>
        <v>150866.4</v>
      </c>
    </row>
    <row r="245" spans="1:12" ht="15.75" x14ac:dyDescent="0.25">
      <c r="A245" s="7"/>
      <c r="B245" s="245">
        <v>45292</v>
      </c>
      <c r="C245" s="245">
        <v>45292</v>
      </c>
      <c r="D245" s="269">
        <v>8947</v>
      </c>
      <c r="E245" s="251" t="s">
        <v>714</v>
      </c>
      <c r="F245" s="242" t="s">
        <v>470</v>
      </c>
      <c r="G245" s="242" t="s">
        <v>474</v>
      </c>
      <c r="H245" s="242"/>
      <c r="I245" s="242">
        <v>50</v>
      </c>
      <c r="J245" s="262">
        <v>350</v>
      </c>
      <c r="K245" s="312">
        <v>33.299999999999997</v>
      </c>
      <c r="L245" s="263">
        <f t="shared" si="3"/>
        <v>11654.999999999998</v>
      </c>
    </row>
    <row r="246" spans="1:12" ht="15.75" x14ac:dyDescent="0.25">
      <c r="A246" s="7"/>
      <c r="B246" s="245">
        <v>45292</v>
      </c>
      <c r="C246" s="245">
        <v>45292</v>
      </c>
      <c r="D246" s="269">
        <v>5809</v>
      </c>
      <c r="E246" s="251" t="s">
        <v>701</v>
      </c>
      <c r="F246" s="242" t="s">
        <v>467</v>
      </c>
      <c r="G246" s="242" t="s">
        <v>468</v>
      </c>
      <c r="H246" s="242"/>
      <c r="I246" s="242">
        <v>0</v>
      </c>
      <c r="J246" s="262">
        <v>13</v>
      </c>
      <c r="K246" s="313">
        <v>3405</v>
      </c>
      <c r="L246" s="263">
        <f t="shared" si="3"/>
        <v>44265</v>
      </c>
    </row>
    <row r="247" spans="1:12" ht="15.75" x14ac:dyDescent="0.25">
      <c r="A247" s="7"/>
      <c r="B247" s="245">
        <v>45292</v>
      </c>
      <c r="C247" s="245">
        <v>45292</v>
      </c>
      <c r="D247" s="269">
        <v>251</v>
      </c>
      <c r="E247" s="251" t="s">
        <v>756</v>
      </c>
      <c r="F247" s="242" t="s">
        <v>470</v>
      </c>
      <c r="G247" s="242" t="s">
        <v>468</v>
      </c>
      <c r="H247" s="242"/>
      <c r="I247" s="242">
        <v>0</v>
      </c>
      <c r="J247" s="262">
        <v>40</v>
      </c>
      <c r="K247" s="311">
        <v>480.77</v>
      </c>
      <c r="L247" s="263">
        <f t="shared" si="3"/>
        <v>19230.8</v>
      </c>
    </row>
    <row r="248" spans="1:12" ht="15.75" x14ac:dyDescent="0.25">
      <c r="A248" s="7"/>
      <c r="B248" s="245">
        <v>45292</v>
      </c>
      <c r="C248" s="245">
        <v>45292</v>
      </c>
      <c r="D248" s="269">
        <v>1059</v>
      </c>
      <c r="E248" s="251" t="s">
        <v>760</v>
      </c>
      <c r="F248" s="242" t="s">
        <v>470</v>
      </c>
      <c r="G248" s="242" t="s">
        <v>508</v>
      </c>
      <c r="H248" s="242"/>
      <c r="I248" s="242">
        <v>400</v>
      </c>
      <c r="J248" s="262">
        <v>800</v>
      </c>
      <c r="K248" s="312">
        <v>11.7</v>
      </c>
      <c r="L248" s="263">
        <f t="shared" si="3"/>
        <v>9360</v>
      </c>
    </row>
    <row r="249" spans="1:12" ht="15.75" x14ac:dyDescent="0.25">
      <c r="A249" s="7"/>
      <c r="B249" s="245">
        <v>45292</v>
      </c>
      <c r="C249" s="245">
        <v>45292</v>
      </c>
      <c r="D249" s="269">
        <v>980</v>
      </c>
      <c r="E249" s="251" t="s">
        <v>686</v>
      </c>
      <c r="F249" s="242" t="s">
        <v>469</v>
      </c>
      <c r="G249" s="242" t="s">
        <v>483</v>
      </c>
      <c r="H249" s="242"/>
      <c r="I249" s="242">
        <v>0</v>
      </c>
      <c r="J249" s="262">
        <v>2</v>
      </c>
      <c r="K249" s="312">
        <v>797.68000000000006</v>
      </c>
      <c r="L249" s="263">
        <f t="shared" si="3"/>
        <v>1595.3600000000001</v>
      </c>
    </row>
    <row r="250" spans="1:12" ht="15.75" x14ac:dyDescent="0.25">
      <c r="A250" s="7"/>
      <c r="B250" s="245">
        <v>45292</v>
      </c>
      <c r="C250" s="245">
        <v>45292</v>
      </c>
      <c r="D250" s="269">
        <v>4972</v>
      </c>
      <c r="E250" s="251" t="s">
        <v>2378</v>
      </c>
      <c r="F250" s="242" t="s">
        <v>470</v>
      </c>
      <c r="G250" s="242" t="s">
        <v>474</v>
      </c>
      <c r="H250" s="242"/>
      <c r="I250" s="242">
        <v>0</v>
      </c>
      <c r="J250" s="262">
        <v>100</v>
      </c>
      <c r="K250" s="311">
        <v>5709.35</v>
      </c>
      <c r="L250" s="263">
        <f t="shared" si="3"/>
        <v>570935</v>
      </c>
    </row>
    <row r="251" spans="1:12" ht="15.75" x14ac:dyDescent="0.25">
      <c r="A251" s="7"/>
      <c r="B251" s="245">
        <v>45292</v>
      </c>
      <c r="C251" s="245">
        <v>45292</v>
      </c>
      <c r="D251" s="269">
        <v>1358</v>
      </c>
      <c r="E251" s="251" t="s">
        <v>702</v>
      </c>
      <c r="F251" s="242" t="s">
        <v>467</v>
      </c>
      <c r="G251" s="242" t="s">
        <v>703</v>
      </c>
      <c r="H251" s="242"/>
      <c r="I251" s="242">
        <v>0</v>
      </c>
      <c r="J251" s="262">
        <v>600</v>
      </c>
      <c r="K251" s="312">
        <v>15.67</v>
      </c>
      <c r="L251" s="263">
        <f t="shared" si="3"/>
        <v>9402</v>
      </c>
    </row>
    <row r="252" spans="1:12" ht="15.75" x14ac:dyDescent="0.25">
      <c r="A252" s="7"/>
      <c r="B252" s="245">
        <v>45292</v>
      </c>
      <c r="C252" s="245">
        <v>45292</v>
      </c>
      <c r="D252" s="269">
        <v>5625</v>
      </c>
      <c r="E252" s="251" t="s">
        <v>704</v>
      </c>
      <c r="F252" s="242" t="s">
        <v>467</v>
      </c>
      <c r="G252" s="242" t="s">
        <v>703</v>
      </c>
      <c r="H252" s="242"/>
      <c r="I252" s="242">
        <v>0</v>
      </c>
      <c r="J252" s="262">
        <v>1500</v>
      </c>
      <c r="K252" s="311">
        <v>15.67</v>
      </c>
      <c r="L252" s="263">
        <f t="shared" si="3"/>
        <v>23505</v>
      </c>
    </row>
    <row r="253" spans="1:12" ht="15.75" x14ac:dyDescent="0.25">
      <c r="A253" s="7"/>
      <c r="B253" s="245">
        <v>45292</v>
      </c>
      <c r="C253" s="245">
        <v>45292</v>
      </c>
      <c r="D253" s="269">
        <v>1004</v>
      </c>
      <c r="E253" s="251" t="s">
        <v>1971</v>
      </c>
      <c r="F253" s="242" t="s">
        <v>467</v>
      </c>
      <c r="G253" s="242" t="s">
        <v>703</v>
      </c>
      <c r="H253" s="242"/>
      <c r="I253" s="242">
        <v>0</v>
      </c>
      <c r="J253" s="262">
        <v>40</v>
      </c>
      <c r="K253" s="311">
        <v>126.85</v>
      </c>
      <c r="L253" s="263">
        <f t="shared" si="3"/>
        <v>5074</v>
      </c>
    </row>
    <row r="254" spans="1:12" ht="15.75" x14ac:dyDescent="0.25">
      <c r="A254" s="7"/>
      <c r="B254" s="245">
        <v>45292</v>
      </c>
      <c r="C254" s="245">
        <v>45292</v>
      </c>
      <c r="D254" s="269">
        <v>17833</v>
      </c>
      <c r="E254" s="251" t="s">
        <v>1972</v>
      </c>
      <c r="F254" s="242" t="s">
        <v>467</v>
      </c>
      <c r="G254" s="242" t="s">
        <v>703</v>
      </c>
      <c r="H254" s="242"/>
      <c r="I254" s="242">
        <v>0</v>
      </c>
      <c r="J254" s="262">
        <v>40</v>
      </c>
      <c r="K254" s="311">
        <v>126.85</v>
      </c>
      <c r="L254" s="263">
        <f t="shared" si="3"/>
        <v>5074</v>
      </c>
    </row>
    <row r="255" spans="1:12" ht="15.75" x14ac:dyDescent="0.25">
      <c r="A255" s="7"/>
      <c r="B255" s="245">
        <v>45292</v>
      </c>
      <c r="C255" s="245">
        <v>45292</v>
      </c>
      <c r="D255" s="269">
        <v>12012</v>
      </c>
      <c r="E255" s="251" t="s">
        <v>1973</v>
      </c>
      <c r="F255" s="242" t="s">
        <v>467</v>
      </c>
      <c r="G255" s="242" t="s">
        <v>703</v>
      </c>
      <c r="H255" s="242"/>
      <c r="I255" s="242">
        <v>0</v>
      </c>
      <c r="J255" s="262">
        <v>40</v>
      </c>
      <c r="K255" s="311">
        <v>126.85</v>
      </c>
      <c r="L255" s="263">
        <f t="shared" si="3"/>
        <v>5074</v>
      </c>
    </row>
    <row r="256" spans="1:12" ht="15.75" x14ac:dyDescent="0.25">
      <c r="A256" s="7"/>
      <c r="B256" s="245">
        <v>45292</v>
      </c>
      <c r="C256" s="245">
        <v>45292</v>
      </c>
      <c r="D256" s="269">
        <v>1010</v>
      </c>
      <c r="E256" s="251" t="s">
        <v>705</v>
      </c>
      <c r="F256" s="242" t="s">
        <v>467</v>
      </c>
      <c r="G256" s="242" t="s">
        <v>643</v>
      </c>
      <c r="H256" s="242">
        <v>20000</v>
      </c>
      <c r="I256" s="242">
        <v>19000</v>
      </c>
      <c r="J256" s="262">
        <v>43950</v>
      </c>
      <c r="K256" s="313">
        <v>7.79</v>
      </c>
      <c r="L256" s="263">
        <f t="shared" si="3"/>
        <v>342370.5</v>
      </c>
    </row>
    <row r="257" spans="1:12" ht="15.75" x14ac:dyDescent="0.25">
      <c r="A257" s="7"/>
      <c r="B257" s="245">
        <v>45292</v>
      </c>
      <c r="C257" s="245">
        <v>45292</v>
      </c>
      <c r="D257" s="269">
        <v>13761</v>
      </c>
      <c r="E257" s="251" t="s">
        <v>706</v>
      </c>
      <c r="F257" s="242" t="s">
        <v>467</v>
      </c>
      <c r="G257" s="242" t="s">
        <v>643</v>
      </c>
      <c r="H257" s="242">
        <v>2500</v>
      </c>
      <c r="I257" s="242">
        <v>1350</v>
      </c>
      <c r="J257" s="262">
        <v>2150</v>
      </c>
      <c r="K257" s="313">
        <v>30.68</v>
      </c>
      <c r="L257" s="263">
        <f t="shared" si="3"/>
        <v>65962</v>
      </c>
    </row>
    <row r="258" spans="1:12" ht="15.75" x14ac:dyDescent="0.25">
      <c r="A258" s="7"/>
      <c r="B258" s="245">
        <v>45292</v>
      </c>
      <c r="C258" s="245">
        <v>45292</v>
      </c>
      <c r="D258" s="269">
        <v>989</v>
      </c>
      <c r="E258" s="251" t="s">
        <v>693</v>
      </c>
      <c r="F258" s="242" t="s">
        <v>469</v>
      </c>
      <c r="G258" s="242" t="s">
        <v>483</v>
      </c>
      <c r="H258" s="242"/>
      <c r="I258" s="242">
        <v>1</v>
      </c>
      <c r="J258" s="262">
        <v>9</v>
      </c>
      <c r="K258" s="314">
        <v>830</v>
      </c>
      <c r="L258" s="263">
        <f t="shared" si="3"/>
        <v>7470</v>
      </c>
    </row>
    <row r="259" spans="1:12" ht="15.75" x14ac:dyDescent="0.25">
      <c r="A259" s="7"/>
      <c r="B259" s="245">
        <v>45292</v>
      </c>
      <c r="C259" s="245">
        <v>45292</v>
      </c>
      <c r="D259" s="269">
        <v>16911</v>
      </c>
      <c r="E259" s="251" t="s">
        <v>762</v>
      </c>
      <c r="F259" s="242" t="s">
        <v>470</v>
      </c>
      <c r="G259" s="242" t="s">
        <v>480</v>
      </c>
      <c r="H259" s="242"/>
      <c r="I259" s="242">
        <v>0</v>
      </c>
      <c r="J259" s="262">
        <v>7</v>
      </c>
      <c r="K259" s="314">
        <v>5266.8</v>
      </c>
      <c r="L259" s="263">
        <f t="shared" si="3"/>
        <v>36867.599999999999</v>
      </c>
    </row>
    <row r="260" spans="1:12" ht="15.75" x14ac:dyDescent="0.25">
      <c r="A260" s="7"/>
      <c r="B260" s="245">
        <v>45292</v>
      </c>
      <c r="C260" s="245">
        <v>45292</v>
      </c>
      <c r="D260" s="269">
        <v>10066</v>
      </c>
      <c r="E260" s="251" t="s">
        <v>695</v>
      </c>
      <c r="F260" s="242" t="s">
        <v>523</v>
      </c>
      <c r="G260" s="242" t="s">
        <v>480</v>
      </c>
      <c r="H260" s="242"/>
      <c r="I260" s="242">
        <v>96</v>
      </c>
      <c r="J260" s="262">
        <v>20</v>
      </c>
      <c r="K260" s="313">
        <v>375.83</v>
      </c>
      <c r="L260" s="263">
        <f t="shared" si="3"/>
        <v>7516.5999999999995</v>
      </c>
    </row>
    <row r="261" spans="1:12" ht="15.75" x14ac:dyDescent="0.25">
      <c r="A261" s="7"/>
      <c r="B261" s="245">
        <v>45292</v>
      </c>
      <c r="C261" s="245">
        <v>45292</v>
      </c>
      <c r="D261" s="269">
        <v>13762</v>
      </c>
      <c r="E261" s="251" t="s">
        <v>2522</v>
      </c>
      <c r="F261" s="242" t="s">
        <v>467</v>
      </c>
      <c r="G261" s="242" t="s">
        <v>643</v>
      </c>
      <c r="H261" s="242">
        <v>2500</v>
      </c>
      <c r="I261" s="242">
        <v>1150</v>
      </c>
      <c r="J261" s="262">
        <v>1350</v>
      </c>
      <c r="K261" s="314">
        <v>49.709999999999994</v>
      </c>
      <c r="L261" s="263">
        <f t="shared" si="3"/>
        <v>67108.499999999985</v>
      </c>
    </row>
    <row r="262" spans="1:12" ht="15.75" x14ac:dyDescent="0.25">
      <c r="A262" s="7"/>
      <c r="B262" s="245">
        <v>45292</v>
      </c>
      <c r="C262" s="245">
        <v>45292</v>
      </c>
      <c r="D262" s="269">
        <v>6853</v>
      </c>
      <c r="E262" s="251" t="s">
        <v>763</v>
      </c>
      <c r="F262" s="242" t="s">
        <v>470</v>
      </c>
      <c r="G262" s="242" t="s">
        <v>478</v>
      </c>
      <c r="H262" s="242"/>
      <c r="I262" s="242">
        <v>0</v>
      </c>
      <c r="J262" s="262">
        <v>90</v>
      </c>
      <c r="K262" s="311">
        <v>26.02</v>
      </c>
      <c r="L262" s="263">
        <f t="shared" si="3"/>
        <v>2341.8000000000002</v>
      </c>
    </row>
    <row r="263" spans="1:12" ht="15.75" x14ac:dyDescent="0.25">
      <c r="A263" s="7"/>
      <c r="B263" s="245">
        <v>45292</v>
      </c>
      <c r="C263" s="245">
        <v>45292</v>
      </c>
      <c r="D263" s="269">
        <v>1325</v>
      </c>
      <c r="E263" s="251" t="s">
        <v>2379</v>
      </c>
      <c r="F263" s="242" t="s">
        <v>523</v>
      </c>
      <c r="G263" s="242" t="s">
        <v>564</v>
      </c>
      <c r="H263" s="242"/>
      <c r="I263" s="242">
        <v>49</v>
      </c>
      <c r="J263" s="262">
        <v>201</v>
      </c>
      <c r="K263" s="312">
        <v>257.71000000000004</v>
      </c>
      <c r="L263" s="263">
        <f t="shared" si="3"/>
        <v>51799.710000000006</v>
      </c>
    </row>
    <row r="264" spans="1:12" ht="15.75" x14ac:dyDescent="0.25">
      <c r="A264" s="7"/>
      <c r="B264" s="245">
        <v>45292</v>
      </c>
      <c r="C264" s="245">
        <v>45292</v>
      </c>
      <c r="D264" s="269">
        <v>13763</v>
      </c>
      <c r="E264" s="251" t="s">
        <v>707</v>
      </c>
      <c r="F264" s="242" t="s">
        <v>467</v>
      </c>
      <c r="G264" s="242" t="s">
        <v>643</v>
      </c>
      <c r="H264" s="242"/>
      <c r="I264" s="242">
        <v>650</v>
      </c>
      <c r="J264" s="262">
        <v>2450</v>
      </c>
      <c r="K264" s="312">
        <v>49.709999999999994</v>
      </c>
      <c r="L264" s="263">
        <f t="shared" si="3"/>
        <v>121789.49999999999</v>
      </c>
    </row>
    <row r="265" spans="1:12" ht="15.75" x14ac:dyDescent="0.25">
      <c r="A265" s="7"/>
      <c r="B265" s="245">
        <v>45292</v>
      </c>
      <c r="C265" s="245">
        <v>45292</v>
      </c>
      <c r="D265" s="269">
        <v>1015</v>
      </c>
      <c r="E265" s="251" t="s">
        <v>708</v>
      </c>
      <c r="F265" s="242" t="s">
        <v>467</v>
      </c>
      <c r="G265" s="242" t="s">
        <v>468</v>
      </c>
      <c r="H265" s="242"/>
      <c r="I265" s="242">
        <v>0</v>
      </c>
      <c r="J265" s="262">
        <v>208</v>
      </c>
      <c r="K265" s="311">
        <v>465.15</v>
      </c>
      <c r="L265" s="263">
        <f t="shared" si="3"/>
        <v>96751.2</v>
      </c>
    </row>
    <row r="266" spans="1:12" ht="15.75" x14ac:dyDescent="0.25">
      <c r="A266" s="7"/>
      <c r="B266" s="245">
        <v>45292</v>
      </c>
      <c r="C266" s="245">
        <v>45292</v>
      </c>
      <c r="D266" s="269">
        <v>1016</v>
      </c>
      <c r="E266" s="251" t="s">
        <v>709</v>
      </c>
      <c r="F266" s="242" t="s">
        <v>467</v>
      </c>
      <c r="G266" s="242" t="s">
        <v>468</v>
      </c>
      <c r="H266" s="242"/>
      <c r="I266" s="242">
        <v>0</v>
      </c>
      <c r="J266" s="262">
        <v>26</v>
      </c>
      <c r="K266" s="311">
        <v>393.25</v>
      </c>
      <c r="L266" s="263">
        <f t="shared" si="3"/>
        <v>10224.5</v>
      </c>
    </row>
    <row r="267" spans="1:12" ht="15.75" x14ac:dyDescent="0.25">
      <c r="A267" s="7"/>
      <c r="B267" s="245">
        <v>45292</v>
      </c>
      <c r="C267" s="245">
        <v>45292</v>
      </c>
      <c r="D267" s="269">
        <v>1392</v>
      </c>
      <c r="E267" s="251" t="s">
        <v>710</v>
      </c>
      <c r="F267" s="242" t="s">
        <v>467</v>
      </c>
      <c r="G267" s="242" t="s">
        <v>468</v>
      </c>
      <c r="H267" s="242"/>
      <c r="I267" s="242">
        <v>2</v>
      </c>
      <c r="J267" s="262">
        <v>10</v>
      </c>
      <c r="K267" s="311">
        <v>257.24</v>
      </c>
      <c r="L267" s="263">
        <f t="shared" si="3"/>
        <v>2572.4</v>
      </c>
    </row>
    <row r="268" spans="1:12" ht="15.75" x14ac:dyDescent="0.25">
      <c r="A268" s="7"/>
      <c r="B268" s="245">
        <v>45292</v>
      </c>
      <c r="C268" s="245">
        <v>45292</v>
      </c>
      <c r="D268" s="269">
        <v>5399</v>
      </c>
      <c r="E268" s="251" t="s">
        <v>715</v>
      </c>
      <c r="F268" s="242" t="s">
        <v>467</v>
      </c>
      <c r="G268" s="242" t="s">
        <v>468</v>
      </c>
      <c r="H268" s="242"/>
      <c r="I268" s="242">
        <v>0</v>
      </c>
      <c r="J268" s="262">
        <v>24</v>
      </c>
      <c r="K268" s="311">
        <v>1240</v>
      </c>
      <c r="L268" s="263">
        <f t="shared" si="3"/>
        <v>29760</v>
      </c>
    </row>
    <row r="269" spans="1:12" ht="15.75" x14ac:dyDescent="0.25">
      <c r="A269" s="7"/>
      <c r="B269" s="245">
        <v>45292</v>
      </c>
      <c r="C269" s="245">
        <v>45292</v>
      </c>
      <c r="D269" s="269">
        <v>7738</v>
      </c>
      <c r="E269" s="251" t="s">
        <v>716</v>
      </c>
      <c r="F269" s="242" t="s">
        <v>467</v>
      </c>
      <c r="G269" s="242" t="s">
        <v>468</v>
      </c>
      <c r="H269" s="242"/>
      <c r="I269" s="242">
        <v>0</v>
      </c>
      <c r="J269" s="262">
        <v>24</v>
      </c>
      <c r="K269" s="312">
        <v>192.29</v>
      </c>
      <c r="L269" s="263">
        <f t="shared" si="3"/>
        <v>4614.96</v>
      </c>
    </row>
    <row r="270" spans="1:12" ht="15.75" x14ac:dyDescent="0.25">
      <c r="A270" s="7"/>
      <c r="B270" s="245">
        <v>45292</v>
      </c>
      <c r="C270" s="245">
        <v>45292</v>
      </c>
      <c r="D270" s="269">
        <v>17826</v>
      </c>
      <c r="E270" s="251" t="s">
        <v>717</v>
      </c>
      <c r="F270" s="242" t="s">
        <v>467</v>
      </c>
      <c r="G270" s="242" t="s">
        <v>468</v>
      </c>
      <c r="H270" s="242"/>
      <c r="I270" s="242">
        <v>0</v>
      </c>
      <c r="J270" s="262">
        <v>24</v>
      </c>
      <c r="K270" s="312">
        <v>157.66999999999999</v>
      </c>
      <c r="L270" s="263">
        <f t="shared" ref="L270:L333" si="4">+K270*J270</f>
        <v>3784.08</v>
      </c>
    </row>
    <row r="271" spans="1:12" ht="15.75" x14ac:dyDescent="0.25">
      <c r="A271" s="7"/>
      <c r="B271" s="245">
        <v>45292</v>
      </c>
      <c r="C271" s="245">
        <v>45292</v>
      </c>
      <c r="D271" s="269">
        <v>14322</v>
      </c>
      <c r="E271" s="251" t="s">
        <v>718</v>
      </c>
      <c r="F271" s="242" t="s">
        <v>467</v>
      </c>
      <c r="G271" s="242" t="s">
        <v>468</v>
      </c>
      <c r="H271" s="242"/>
      <c r="I271" s="242">
        <v>0</v>
      </c>
      <c r="J271" s="262">
        <v>48</v>
      </c>
      <c r="K271" s="312">
        <v>212.73</v>
      </c>
      <c r="L271" s="263">
        <f t="shared" si="4"/>
        <v>10211.039999999999</v>
      </c>
    </row>
    <row r="272" spans="1:12" ht="15.75" x14ac:dyDescent="0.25">
      <c r="A272" s="7"/>
      <c r="B272" s="245">
        <v>45292</v>
      </c>
      <c r="C272" s="245">
        <v>45292</v>
      </c>
      <c r="D272" s="269">
        <v>1026</v>
      </c>
      <c r="E272" s="251" t="s">
        <v>719</v>
      </c>
      <c r="F272" s="242" t="s">
        <v>467</v>
      </c>
      <c r="G272" s="242" t="s">
        <v>468</v>
      </c>
      <c r="H272" s="242"/>
      <c r="I272" s="242">
        <v>0</v>
      </c>
      <c r="J272" s="262">
        <v>48</v>
      </c>
      <c r="K272" s="312">
        <v>232.54</v>
      </c>
      <c r="L272" s="263">
        <f t="shared" si="4"/>
        <v>11161.92</v>
      </c>
    </row>
    <row r="273" spans="1:12" ht="15.75" x14ac:dyDescent="0.25">
      <c r="A273" s="7"/>
      <c r="B273" s="245">
        <v>45292</v>
      </c>
      <c r="C273" s="245">
        <v>45292</v>
      </c>
      <c r="D273" s="269">
        <v>7737</v>
      </c>
      <c r="E273" s="251" t="s">
        <v>720</v>
      </c>
      <c r="F273" s="242" t="s">
        <v>467</v>
      </c>
      <c r="G273" s="242" t="s">
        <v>468</v>
      </c>
      <c r="H273" s="242"/>
      <c r="I273" s="242">
        <v>0</v>
      </c>
      <c r="J273" s="262">
        <v>36</v>
      </c>
      <c r="K273" s="314">
        <v>331.51</v>
      </c>
      <c r="L273" s="263">
        <f t="shared" si="4"/>
        <v>11934.36</v>
      </c>
    </row>
    <row r="274" spans="1:12" ht="15.75" x14ac:dyDescent="0.25">
      <c r="A274" s="7"/>
      <c r="B274" s="245">
        <v>45292</v>
      </c>
      <c r="C274" s="245">
        <v>45292</v>
      </c>
      <c r="D274" s="269">
        <v>3294</v>
      </c>
      <c r="E274" s="251" t="s">
        <v>721</v>
      </c>
      <c r="F274" s="242" t="s">
        <v>467</v>
      </c>
      <c r="G274" s="242" t="s">
        <v>468</v>
      </c>
      <c r="H274" s="242"/>
      <c r="I274" s="242">
        <v>0</v>
      </c>
      <c r="J274" s="262">
        <v>72</v>
      </c>
      <c r="K274" s="311">
        <v>430</v>
      </c>
      <c r="L274" s="263">
        <f t="shared" si="4"/>
        <v>30960</v>
      </c>
    </row>
    <row r="275" spans="1:12" ht="15.75" x14ac:dyDescent="0.25">
      <c r="A275" s="7"/>
      <c r="B275" s="245">
        <v>45292</v>
      </c>
      <c r="C275" s="245">
        <v>45292</v>
      </c>
      <c r="D275" s="269" t="s">
        <v>722</v>
      </c>
      <c r="E275" s="251" t="s">
        <v>723</v>
      </c>
      <c r="F275" s="242" t="s">
        <v>467</v>
      </c>
      <c r="G275" s="242" t="s">
        <v>468</v>
      </c>
      <c r="H275" s="242"/>
      <c r="I275" s="242">
        <v>0</v>
      </c>
      <c r="J275" s="262">
        <v>84</v>
      </c>
      <c r="K275" s="311">
        <v>278</v>
      </c>
      <c r="L275" s="263">
        <f t="shared" si="4"/>
        <v>23352</v>
      </c>
    </row>
    <row r="276" spans="1:12" ht="15.75" x14ac:dyDescent="0.25">
      <c r="A276" s="7"/>
      <c r="B276" s="245">
        <v>45292</v>
      </c>
      <c r="C276" s="245">
        <v>45292</v>
      </c>
      <c r="D276" s="269">
        <v>5905</v>
      </c>
      <c r="E276" s="251" t="s">
        <v>724</v>
      </c>
      <c r="F276" s="242" t="s">
        <v>467</v>
      </c>
      <c r="G276" s="242" t="s">
        <v>468</v>
      </c>
      <c r="H276" s="242"/>
      <c r="I276" s="242">
        <v>0</v>
      </c>
      <c r="J276" s="262">
        <v>117</v>
      </c>
      <c r="K276" s="311">
        <v>175</v>
      </c>
      <c r="L276" s="263">
        <f t="shared" si="4"/>
        <v>20475</v>
      </c>
    </row>
    <row r="277" spans="1:12" ht="15.75" x14ac:dyDescent="0.25">
      <c r="A277" s="7"/>
      <c r="B277" s="245">
        <v>45292</v>
      </c>
      <c r="C277" s="245">
        <v>45292</v>
      </c>
      <c r="D277" s="269">
        <v>4064</v>
      </c>
      <c r="E277" s="251" t="s">
        <v>725</v>
      </c>
      <c r="F277" s="242" t="s">
        <v>467</v>
      </c>
      <c r="G277" s="242" t="s">
        <v>468</v>
      </c>
      <c r="H277" s="242"/>
      <c r="I277" s="242">
        <v>120</v>
      </c>
      <c r="J277" s="262">
        <v>96</v>
      </c>
      <c r="K277" s="311">
        <v>474.6</v>
      </c>
      <c r="L277" s="263">
        <f t="shared" si="4"/>
        <v>45561.600000000006</v>
      </c>
    </row>
    <row r="278" spans="1:12" ht="15.75" x14ac:dyDescent="0.25">
      <c r="A278" s="7"/>
      <c r="B278" s="245">
        <v>45292</v>
      </c>
      <c r="C278" s="245">
        <v>45292</v>
      </c>
      <c r="D278" s="269">
        <v>5716</v>
      </c>
      <c r="E278" s="251" t="s">
        <v>726</v>
      </c>
      <c r="F278" s="242" t="s">
        <v>467</v>
      </c>
      <c r="G278" s="242" t="s">
        <v>468</v>
      </c>
      <c r="H278" s="242"/>
      <c r="I278" s="242">
        <v>36</v>
      </c>
      <c r="J278" s="262">
        <v>144</v>
      </c>
      <c r="K278" s="313">
        <v>253.82</v>
      </c>
      <c r="L278" s="263">
        <f t="shared" si="4"/>
        <v>36550.080000000002</v>
      </c>
    </row>
    <row r="279" spans="1:12" ht="15.75" x14ac:dyDescent="0.25">
      <c r="A279" s="7"/>
      <c r="B279" s="245">
        <v>45292</v>
      </c>
      <c r="C279" s="245">
        <v>45292</v>
      </c>
      <c r="D279" s="269">
        <v>1029</v>
      </c>
      <c r="E279" s="251" t="s">
        <v>727</v>
      </c>
      <c r="F279" s="242" t="s">
        <v>467</v>
      </c>
      <c r="G279" s="242" t="s">
        <v>468</v>
      </c>
      <c r="H279" s="242"/>
      <c r="I279" s="242">
        <v>24</v>
      </c>
      <c r="J279" s="262">
        <v>96</v>
      </c>
      <c r="K279" s="312">
        <v>170</v>
      </c>
      <c r="L279" s="263">
        <f t="shared" si="4"/>
        <v>16320</v>
      </c>
    </row>
    <row r="280" spans="1:12" ht="15.75" x14ac:dyDescent="0.25">
      <c r="A280" s="7"/>
      <c r="B280" s="245">
        <v>45292</v>
      </c>
      <c r="C280" s="245">
        <v>45292</v>
      </c>
      <c r="D280" s="269">
        <v>1030</v>
      </c>
      <c r="E280" s="251" t="s">
        <v>1974</v>
      </c>
      <c r="F280" s="242" t="s">
        <v>467</v>
      </c>
      <c r="G280" s="242" t="s">
        <v>468</v>
      </c>
      <c r="H280" s="242"/>
      <c r="I280" s="242">
        <v>24</v>
      </c>
      <c r="J280" s="262">
        <v>168</v>
      </c>
      <c r="K280" s="312">
        <v>136.204166666666</v>
      </c>
      <c r="L280" s="263">
        <f t="shared" si="4"/>
        <v>22882.299999999886</v>
      </c>
    </row>
    <row r="281" spans="1:12" ht="15.75" x14ac:dyDescent="0.25">
      <c r="A281" s="7"/>
      <c r="B281" s="245">
        <v>45292</v>
      </c>
      <c r="C281" s="245">
        <v>45292</v>
      </c>
      <c r="D281" s="269">
        <v>1081</v>
      </c>
      <c r="E281" s="251" t="s">
        <v>772</v>
      </c>
      <c r="F281" s="242" t="s">
        <v>470</v>
      </c>
      <c r="G281" s="242" t="s">
        <v>474</v>
      </c>
      <c r="H281" s="242"/>
      <c r="I281" s="242">
        <v>450</v>
      </c>
      <c r="J281" s="262">
        <v>2275</v>
      </c>
      <c r="K281" s="312">
        <v>38</v>
      </c>
      <c r="L281" s="263">
        <f t="shared" si="4"/>
        <v>86450</v>
      </c>
    </row>
    <row r="282" spans="1:12" ht="15.75" x14ac:dyDescent="0.25">
      <c r="A282" s="7"/>
      <c r="B282" s="245">
        <v>45292</v>
      </c>
      <c r="C282" s="245">
        <v>45292</v>
      </c>
      <c r="D282" s="269">
        <v>8029</v>
      </c>
      <c r="E282" s="251" t="s">
        <v>728</v>
      </c>
      <c r="F282" s="242" t="s">
        <v>467</v>
      </c>
      <c r="G282" s="242" t="s">
        <v>468</v>
      </c>
      <c r="H282" s="242"/>
      <c r="I282" s="242">
        <v>0</v>
      </c>
      <c r="J282" s="262">
        <v>60</v>
      </c>
      <c r="K282" s="311">
        <v>498</v>
      </c>
      <c r="L282" s="263">
        <f t="shared" si="4"/>
        <v>29880</v>
      </c>
    </row>
    <row r="283" spans="1:12" ht="15.75" x14ac:dyDescent="0.25">
      <c r="A283" s="7"/>
      <c r="B283" s="245">
        <v>45292</v>
      </c>
      <c r="C283" s="245">
        <v>45292</v>
      </c>
      <c r="D283" s="269">
        <v>7480</v>
      </c>
      <c r="E283" s="251" t="s">
        <v>786</v>
      </c>
      <c r="F283" s="242" t="s">
        <v>470</v>
      </c>
      <c r="G283" s="242" t="s">
        <v>474</v>
      </c>
      <c r="H283" s="242">
        <f>60+30</f>
        <v>90</v>
      </c>
      <c r="I283" s="242">
        <v>31</v>
      </c>
      <c r="J283" s="262">
        <v>100</v>
      </c>
      <c r="K283" s="312">
        <v>550</v>
      </c>
      <c r="L283" s="263">
        <f t="shared" si="4"/>
        <v>55000</v>
      </c>
    </row>
    <row r="284" spans="1:12" ht="15.75" x14ac:dyDescent="0.25">
      <c r="A284" s="7"/>
      <c r="B284" s="245">
        <v>45292</v>
      </c>
      <c r="C284" s="245">
        <v>45292</v>
      </c>
      <c r="D284" s="269">
        <v>1412</v>
      </c>
      <c r="E284" s="251" t="s">
        <v>729</v>
      </c>
      <c r="F284" s="242" t="s">
        <v>467</v>
      </c>
      <c r="G284" s="242" t="s">
        <v>468</v>
      </c>
      <c r="H284" s="242"/>
      <c r="I284" s="242">
        <v>0</v>
      </c>
      <c r="J284" s="262">
        <v>390</v>
      </c>
      <c r="K284" s="311">
        <v>145.16999999999999</v>
      </c>
      <c r="L284" s="263">
        <f t="shared" si="4"/>
        <v>56616.299999999996</v>
      </c>
    </row>
    <row r="285" spans="1:12" ht="15.75" x14ac:dyDescent="0.25">
      <c r="A285" s="7"/>
      <c r="B285" s="245">
        <v>45292</v>
      </c>
      <c r="C285" s="245">
        <v>45292</v>
      </c>
      <c r="D285" s="269">
        <v>1514</v>
      </c>
      <c r="E285" s="251" t="s">
        <v>1975</v>
      </c>
      <c r="F285" s="242" t="s">
        <v>467</v>
      </c>
      <c r="G285" s="242" t="s">
        <v>468</v>
      </c>
      <c r="H285" s="242"/>
      <c r="I285" s="242">
        <v>0</v>
      </c>
      <c r="J285" s="262">
        <v>312</v>
      </c>
      <c r="K285" s="311">
        <v>147.645833333333</v>
      </c>
      <c r="L285" s="263">
        <f t="shared" si="4"/>
        <v>46065.499999999898</v>
      </c>
    </row>
    <row r="286" spans="1:12" ht="15.75" x14ac:dyDescent="0.25">
      <c r="A286" s="7"/>
      <c r="B286" s="245">
        <v>45292</v>
      </c>
      <c r="C286" s="245">
        <v>45292</v>
      </c>
      <c r="D286" s="269">
        <v>18810</v>
      </c>
      <c r="E286" s="251" t="s">
        <v>730</v>
      </c>
      <c r="F286" s="242" t="s">
        <v>467</v>
      </c>
      <c r="G286" s="242" t="s">
        <v>474</v>
      </c>
      <c r="H286" s="242"/>
      <c r="I286" s="242">
        <v>0</v>
      </c>
      <c r="J286" s="262">
        <v>108</v>
      </c>
      <c r="K286" s="311">
        <v>586.5</v>
      </c>
      <c r="L286" s="263">
        <f t="shared" si="4"/>
        <v>63342</v>
      </c>
    </row>
    <row r="287" spans="1:12" ht="15.75" x14ac:dyDescent="0.25">
      <c r="A287" s="7"/>
      <c r="B287" s="245">
        <v>45292</v>
      </c>
      <c r="C287" s="245">
        <v>45292</v>
      </c>
      <c r="D287" s="269">
        <v>4963</v>
      </c>
      <c r="E287" s="251" t="s">
        <v>731</v>
      </c>
      <c r="F287" s="242" t="s">
        <v>467</v>
      </c>
      <c r="G287" s="242" t="s">
        <v>468</v>
      </c>
      <c r="H287" s="242"/>
      <c r="I287" s="242">
        <v>0</v>
      </c>
      <c r="J287" s="262">
        <v>72</v>
      </c>
      <c r="K287" s="311">
        <v>665</v>
      </c>
      <c r="L287" s="263">
        <f t="shared" si="4"/>
        <v>47880</v>
      </c>
    </row>
    <row r="288" spans="1:12" ht="15.75" x14ac:dyDescent="0.25">
      <c r="A288" s="7"/>
      <c r="B288" s="245">
        <v>45292</v>
      </c>
      <c r="C288" s="245">
        <v>45292</v>
      </c>
      <c r="D288" s="269">
        <v>5212</v>
      </c>
      <c r="E288" s="251" t="s">
        <v>732</v>
      </c>
      <c r="F288" s="242" t="s">
        <v>467</v>
      </c>
      <c r="G288" s="242" t="s">
        <v>468</v>
      </c>
      <c r="H288" s="242"/>
      <c r="I288" s="242">
        <v>0</v>
      </c>
      <c r="J288" s="262">
        <v>36</v>
      </c>
      <c r="K288" s="313">
        <v>490</v>
      </c>
      <c r="L288" s="263">
        <f t="shared" si="4"/>
        <v>17640</v>
      </c>
    </row>
    <row r="289" spans="1:12" ht="15.75" x14ac:dyDescent="0.25">
      <c r="A289" s="7"/>
      <c r="B289" s="245">
        <v>45292</v>
      </c>
      <c r="C289" s="245">
        <v>45292</v>
      </c>
      <c r="D289" s="269">
        <v>11159</v>
      </c>
      <c r="E289" s="251" t="s">
        <v>733</v>
      </c>
      <c r="F289" s="242" t="s">
        <v>467</v>
      </c>
      <c r="G289" s="242" t="s">
        <v>468</v>
      </c>
      <c r="H289" s="242"/>
      <c r="I289" s="242">
        <v>0</v>
      </c>
      <c r="J289" s="262">
        <v>82</v>
      </c>
      <c r="K289" s="311">
        <v>123.41</v>
      </c>
      <c r="L289" s="263">
        <f t="shared" si="4"/>
        <v>10119.619999999999</v>
      </c>
    </row>
    <row r="290" spans="1:12" ht="15.75" x14ac:dyDescent="0.25">
      <c r="A290" s="7"/>
      <c r="B290" s="245">
        <v>45292</v>
      </c>
      <c r="C290" s="245">
        <v>45292</v>
      </c>
      <c r="D290" s="269">
        <v>1034</v>
      </c>
      <c r="E290" s="251" t="s">
        <v>734</v>
      </c>
      <c r="F290" s="242" t="s">
        <v>467</v>
      </c>
      <c r="G290" s="242" t="s">
        <v>468</v>
      </c>
      <c r="H290" s="242"/>
      <c r="I290" s="242">
        <v>0</v>
      </c>
      <c r="J290" s="262">
        <v>108</v>
      </c>
      <c r="K290" s="312">
        <v>134.63999999999999</v>
      </c>
      <c r="L290" s="263">
        <f t="shared" si="4"/>
        <v>14541.119999999999</v>
      </c>
    </row>
    <row r="291" spans="1:12" ht="15.75" x14ac:dyDescent="0.25">
      <c r="A291" s="7"/>
      <c r="B291" s="245">
        <v>45292</v>
      </c>
      <c r="C291" s="245">
        <v>45292</v>
      </c>
      <c r="D291" s="269">
        <v>5773</v>
      </c>
      <c r="E291" s="251" t="s">
        <v>735</v>
      </c>
      <c r="F291" s="242" t="s">
        <v>467</v>
      </c>
      <c r="G291" s="242" t="s">
        <v>468</v>
      </c>
      <c r="H291" s="242"/>
      <c r="I291" s="242">
        <v>0</v>
      </c>
      <c r="J291" s="262">
        <v>36</v>
      </c>
      <c r="K291" s="312">
        <v>692.41</v>
      </c>
      <c r="L291" s="263">
        <f t="shared" si="4"/>
        <v>24926.76</v>
      </c>
    </row>
    <row r="292" spans="1:12" ht="15.75" x14ac:dyDescent="0.25">
      <c r="A292" s="7"/>
      <c r="B292" s="245">
        <v>45292</v>
      </c>
      <c r="C292" s="245">
        <v>45292</v>
      </c>
      <c r="D292" s="269">
        <v>6835</v>
      </c>
      <c r="E292" s="251" t="s">
        <v>736</v>
      </c>
      <c r="F292" s="242" t="s">
        <v>467</v>
      </c>
      <c r="G292" s="242" t="s">
        <v>468</v>
      </c>
      <c r="H292" s="242"/>
      <c r="I292" s="242">
        <v>0</v>
      </c>
      <c r="J292" s="262">
        <v>96</v>
      </c>
      <c r="K292" s="311">
        <v>112.16</v>
      </c>
      <c r="L292" s="263">
        <f t="shared" si="4"/>
        <v>10767.36</v>
      </c>
    </row>
    <row r="293" spans="1:12" ht="15.75" x14ac:dyDescent="0.25">
      <c r="A293" s="7"/>
      <c r="B293" s="245">
        <v>45292</v>
      </c>
      <c r="C293" s="245">
        <v>45292</v>
      </c>
      <c r="D293" s="269">
        <v>1038</v>
      </c>
      <c r="E293" s="251" t="s">
        <v>737</v>
      </c>
      <c r="F293" s="242" t="s">
        <v>467</v>
      </c>
      <c r="G293" s="242" t="s">
        <v>468</v>
      </c>
      <c r="H293" s="242"/>
      <c r="I293" s="242">
        <v>0</v>
      </c>
      <c r="J293" s="262">
        <v>24</v>
      </c>
      <c r="K293" s="311">
        <v>335</v>
      </c>
      <c r="L293" s="263">
        <f t="shared" si="4"/>
        <v>8040</v>
      </c>
    </row>
    <row r="294" spans="1:12" ht="15.75" x14ac:dyDescent="0.25">
      <c r="A294" s="7"/>
      <c r="B294" s="245">
        <v>45292</v>
      </c>
      <c r="C294" s="245">
        <v>45292</v>
      </c>
      <c r="D294" s="269">
        <v>1039</v>
      </c>
      <c r="E294" s="251" t="s">
        <v>738</v>
      </c>
      <c r="F294" s="242" t="s">
        <v>467</v>
      </c>
      <c r="G294" s="242" t="s">
        <v>468</v>
      </c>
      <c r="H294" s="242"/>
      <c r="I294" s="242">
        <v>0</v>
      </c>
      <c r="J294" s="262">
        <v>72</v>
      </c>
      <c r="K294" s="312">
        <v>396.41</v>
      </c>
      <c r="L294" s="263">
        <f t="shared" si="4"/>
        <v>28541.52</v>
      </c>
    </row>
    <row r="295" spans="1:12" ht="15.75" x14ac:dyDescent="0.25">
      <c r="A295" s="7"/>
      <c r="B295" s="245">
        <v>45292</v>
      </c>
      <c r="C295" s="245">
        <v>45292</v>
      </c>
      <c r="D295" s="269">
        <v>6974</v>
      </c>
      <c r="E295" s="251" t="s">
        <v>739</v>
      </c>
      <c r="F295" s="242" t="s">
        <v>467</v>
      </c>
      <c r="G295" s="242" t="s">
        <v>468</v>
      </c>
      <c r="H295" s="242"/>
      <c r="I295" s="242">
        <v>0</v>
      </c>
      <c r="J295" s="262">
        <v>72</v>
      </c>
      <c r="K295" s="311">
        <v>396.41</v>
      </c>
      <c r="L295" s="263">
        <f t="shared" si="4"/>
        <v>28541.52</v>
      </c>
    </row>
    <row r="296" spans="1:12" ht="15.75" x14ac:dyDescent="0.25">
      <c r="A296" s="7"/>
      <c r="B296" s="245">
        <v>45292</v>
      </c>
      <c r="C296" s="245">
        <v>45292</v>
      </c>
      <c r="D296" s="269">
        <v>2294</v>
      </c>
      <c r="E296" s="251" t="s">
        <v>740</v>
      </c>
      <c r="F296" s="242" t="s">
        <v>467</v>
      </c>
      <c r="G296" s="242" t="s">
        <v>468</v>
      </c>
      <c r="H296" s="242"/>
      <c r="I296" s="242">
        <v>0</v>
      </c>
      <c r="J296" s="262">
        <v>48</v>
      </c>
      <c r="K296" s="311">
        <v>326.25</v>
      </c>
      <c r="L296" s="263">
        <f t="shared" si="4"/>
        <v>15660</v>
      </c>
    </row>
    <row r="297" spans="1:12" ht="15.75" x14ac:dyDescent="0.25">
      <c r="A297" s="7"/>
      <c r="B297" s="245">
        <v>45292</v>
      </c>
      <c r="C297" s="245">
        <v>45292</v>
      </c>
      <c r="D297" s="269">
        <v>1040</v>
      </c>
      <c r="E297" s="251" t="s">
        <v>741</v>
      </c>
      <c r="F297" s="242" t="s">
        <v>467</v>
      </c>
      <c r="G297" s="242" t="s">
        <v>468</v>
      </c>
      <c r="H297" s="242"/>
      <c r="I297" s="242">
        <v>0</v>
      </c>
      <c r="J297" s="262">
        <v>24</v>
      </c>
      <c r="K297" s="311">
        <v>232.33</v>
      </c>
      <c r="L297" s="263">
        <f t="shared" si="4"/>
        <v>5575.92</v>
      </c>
    </row>
    <row r="298" spans="1:12" ht="15.75" x14ac:dyDescent="0.25">
      <c r="A298" s="7"/>
      <c r="B298" s="245">
        <v>45292</v>
      </c>
      <c r="C298" s="245">
        <v>45292</v>
      </c>
      <c r="D298" s="269">
        <v>5441</v>
      </c>
      <c r="E298" s="251" t="s">
        <v>742</v>
      </c>
      <c r="F298" s="242" t="s">
        <v>467</v>
      </c>
      <c r="G298" s="242" t="s">
        <v>468</v>
      </c>
      <c r="H298" s="242"/>
      <c r="I298" s="242">
        <v>0</v>
      </c>
      <c r="J298" s="262">
        <v>108</v>
      </c>
      <c r="K298" s="312">
        <v>2012.12</v>
      </c>
      <c r="L298" s="263">
        <f t="shared" si="4"/>
        <v>217308.96</v>
      </c>
    </row>
    <row r="299" spans="1:12" ht="15.75" x14ac:dyDescent="0.25">
      <c r="A299" s="7"/>
      <c r="B299" s="245">
        <v>45292</v>
      </c>
      <c r="C299" s="245">
        <v>45292</v>
      </c>
      <c r="D299" s="269">
        <v>4936</v>
      </c>
      <c r="E299" s="251" t="s">
        <v>743</v>
      </c>
      <c r="F299" s="242" t="s">
        <v>467</v>
      </c>
      <c r="G299" s="242" t="s">
        <v>468</v>
      </c>
      <c r="H299" s="242"/>
      <c r="I299" s="242">
        <v>0</v>
      </c>
      <c r="J299" s="262">
        <v>108</v>
      </c>
      <c r="K299" s="311">
        <v>1884.96</v>
      </c>
      <c r="L299" s="263">
        <f t="shared" si="4"/>
        <v>203575.67999999999</v>
      </c>
    </row>
    <row r="300" spans="1:12" ht="15.75" x14ac:dyDescent="0.25">
      <c r="A300" s="7"/>
      <c r="B300" s="245">
        <v>45292</v>
      </c>
      <c r="C300" s="245">
        <v>45292</v>
      </c>
      <c r="D300" s="269">
        <v>8370</v>
      </c>
      <c r="E300" s="251" t="s">
        <v>1976</v>
      </c>
      <c r="F300" s="242" t="s">
        <v>467</v>
      </c>
      <c r="G300" s="242" t="s">
        <v>468</v>
      </c>
      <c r="H300" s="242"/>
      <c r="I300" s="242">
        <v>36</v>
      </c>
      <c r="J300" s="262">
        <v>72</v>
      </c>
      <c r="K300" s="312">
        <v>185</v>
      </c>
      <c r="L300" s="263">
        <f t="shared" si="4"/>
        <v>13320</v>
      </c>
    </row>
    <row r="301" spans="1:12" ht="15.75" x14ac:dyDescent="0.25">
      <c r="A301" s="7"/>
      <c r="B301" s="245">
        <v>45292</v>
      </c>
      <c r="C301" s="245">
        <v>45292</v>
      </c>
      <c r="D301" s="269">
        <v>1416</v>
      </c>
      <c r="E301" s="251" t="s">
        <v>744</v>
      </c>
      <c r="F301" s="242" t="s">
        <v>467</v>
      </c>
      <c r="G301" s="242" t="s">
        <v>468</v>
      </c>
      <c r="H301" s="242"/>
      <c r="I301" s="242">
        <v>24</v>
      </c>
      <c r="J301" s="262">
        <v>168</v>
      </c>
      <c r="K301" s="313">
        <v>340</v>
      </c>
      <c r="L301" s="263">
        <f t="shared" si="4"/>
        <v>57120</v>
      </c>
    </row>
    <row r="302" spans="1:12" ht="15.75" x14ac:dyDescent="0.25">
      <c r="A302" s="7"/>
      <c r="B302" s="245">
        <v>45292</v>
      </c>
      <c r="C302" s="245">
        <v>45292</v>
      </c>
      <c r="D302" s="269">
        <v>4917</v>
      </c>
      <c r="E302" s="251" t="s">
        <v>745</v>
      </c>
      <c r="F302" s="242" t="s">
        <v>467</v>
      </c>
      <c r="G302" s="242" t="s">
        <v>468</v>
      </c>
      <c r="H302" s="242"/>
      <c r="I302" s="242">
        <v>0</v>
      </c>
      <c r="J302" s="262">
        <v>144</v>
      </c>
      <c r="K302" s="311">
        <v>155.51</v>
      </c>
      <c r="L302" s="263">
        <f t="shared" si="4"/>
        <v>22393.439999999999</v>
      </c>
    </row>
    <row r="303" spans="1:12" ht="15.75" x14ac:dyDescent="0.25">
      <c r="A303" s="7"/>
      <c r="B303" s="245">
        <v>45292</v>
      </c>
      <c r="C303" s="245">
        <v>45292</v>
      </c>
      <c r="D303" s="269">
        <v>1043</v>
      </c>
      <c r="E303" s="251" t="s">
        <v>1977</v>
      </c>
      <c r="F303" s="242" t="s">
        <v>467</v>
      </c>
      <c r="G303" s="242" t="s">
        <v>468</v>
      </c>
      <c r="H303" s="242"/>
      <c r="I303" s="242">
        <v>72</v>
      </c>
      <c r="J303" s="262">
        <v>576</v>
      </c>
      <c r="K303" s="312">
        <v>152.25</v>
      </c>
      <c r="L303" s="263">
        <f t="shared" si="4"/>
        <v>87696</v>
      </c>
    </row>
    <row r="304" spans="1:12" ht="15.75" x14ac:dyDescent="0.25">
      <c r="A304" s="7"/>
      <c r="B304" s="245">
        <v>45292</v>
      </c>
      <c r="C304" s="245">
        <v>45292</v>
      </c>
      <c r="D304" s="269">
        <v>8371</v>
      </c>
      <c r="E304" s="251" t="s">
        <v>1978</v>
      </c>
      <c r="F304" s="242" t="s">
        <v>467</v>
      </c>
      <c r="G304" s="242" t="s">
        <v>468</v>
      </c>
      <c r="H304" s="242"/>
      <c r="I304" s="242">
        <v>0</v>
      </c>
      <c r="J304" s="262">
        <v>720</v>
      </c>
      <c r="K304" s="312">
        <v>141.75</v>
      </c>
      <c r="L304" s="263">
        <f t="shared" si="4"/>
        <v>102060</v>
      </c>
    </row>
    <row r="305" spans="1:12" ht="15.75" x14ac:dyDescent="0.25">
      <c r="A305" s="7"/>
      <c r="B305" s="245">
        <v>45292</v>
      </c>
      <c r="C305" s="245">
        <v>45292</v>
      </c>
      <c r="D305" s="269">
        <v>1044</v>
      </c>
      <c r="E305" s="251" t="s">
        <v>746</v>
      </c>
      <c r="F305" s="242" t="s">
        <v>467</v>
      </c>
      <c r="G305" s="242" t="s">
        <v>468</v>
      </c>
      <c r="H305" s="242"/>
      <c r="I305" s="242">
        <v>0</v>
      </c>
      <c r="J305" s="262">
        <v>36</v>
      </c>
      <c r="K305" s="312">
        <v>189.45</v>
      </c>
      <c r="L305" s="263">
        <f t="shared" si="4"/>
        <v>6820.2</v>
      </c>
    </row>
    <row r="306" spans="1:12" ht="15.75" x14ac:dyDescent="0.25">
      <c r="A306" s="7"/>
      <c r="B306" s="245">
        <v>45292</v>
      </c>
      <c r="C306" s="245">
        <v>45292</v>
      </c>
      <c r="D306" s="269">
        <v>10674</v>
      </c>
      <c r="E306" s="251" t="s">
        <v>747</v>
      </c>
      <c r="F306" s="242" t="s">
        <v>467</v>
      </c>
      <c r="G306" s="242" t="s">
        <v>468</v>
      </c>
      <c r="H306" s="242"/>
      <c r="I306" s="242">
        <v>0</v>
      </c>
      <c r="J306" s="262">
        <v>240</v>
      </c>
      <c r="K306" s="312">
        <v>150.68</v>
      </c>
      <c r="L306" s="263">
        <f t="shared" si="4"/>
        <v>36163.200000000004</v>
      </c>
    </row>
    <row r="307" spans="1:12" ht="15.75" x14ac:dyDescent="0.25">
      <c r="A307" s="7"/>
      <c r="B307" s="245">
        <v>45292</v>
      </c>
      <c r="C307" s="245">
        <v>45292</v>
      </c>
      <c r="D307" s="269">
        <v>14530</v>
      </c>
      <c r="E307" s="251" t="s">
        <v>748</v>
      </c>
      <c r="F307" s="242" t="s">
        <v>467</v>
      </c>
      <c r="G307" s="242" t="s">
        <v>468</v>
      </c>
      <c r="H307" s="242"/>
      <c r="I307" s="242">
        <v>0</v>
      </c>
      <c r="J307" s="262">
        <v>24</v>
      </c>
      <c r="K307" s="312">
        <v>450</v>
      </c>
      <c r="L307" s="263">
        <f t="shared" si="4"/>
        <v>10800</v>
      </c>
    </row>
    <row r="308" spans="1:12" ht="15.75" x14ac:dyDescent="0.25">
      <c r="A308" s="7"/>
      <c r="B308" s="245">
        <v>45292</v>
      </c>
      <c r="C308" s="245">
        <v>45292</v>
      </c>
      <c r="D308" s="269">
        <v>1400</v>
      </c>
      <c r="E308" s="251" t="s">
        <v>749</v>
      </c>
      <c r="F308" s="242" t="s">
        <v>467</v>
      </c>
      <c r="G308" s="242" t="s">
        <v>468</v>
      </c>
      <c r="H308" s="242"/>
      <c r="I308" s="242">
        <v>12</v>
      </c>
      <c r="J308" s="262">
        <v>48</v>
      </c>
      <c r="K308" s="312">
        <v>1399.13</v>
      </c>
      <c r="L308" s="263">
        <f t="shared" si="4"/>
        <v>67158.240000000005</v>
      </c>
    </row>
    <row r="309" spans="1:12" ht="15.75" x14ac:dyDescent="0.25">
      <c r="A309" s="7"/>
      <c r="B309" s="245">
        <v>45292</v>
      </c>
      <c r="C309" s="245">
        <v>45292</v>
      </c>
      <c r="D309" s="269">
        <v>1050</v>
      </c>
      <c r="E309" s="251" t="s">
        <v>750</v>
      </c>
      <c r="F309" s="242" t="s">
        <v>467</v>
      </c>
      <c r="G309" s="242" t="s">
        <v>468</v>
      </c>
      <c r="H309" s="242"/>
      <c r="I309" s="242">
        <v>144</v>
      </c>
      <c r="J309" s="262">
        <v>108</v>
      </c>
      <c r="K309" s="312">
        <v>219.34</v>
      </c>
      <c r="L309" s="263">
        <f t="shared" si="4"/>
        <v>23688.720000000001</v>
      </c>
    </row>
    <row r="310" spans="1:12" ht="15.75" x14ac:dyDescent="0.25">
      <c r="A310" s="7"/>
      <c r="B310" s="245">
        <v>45292</v>
      </c>
      <c r="C310" s="245">
        <v>45292</v>
      </c>
      <c r="D310" s="269">
        <v>1051</v>
      </c>
      <c r="E310" s="251" t="s">
        <v>751</v>
      </c>
      <c r="F310" s="242" t="s">
        <v>467</v>
      </c>
      <c r="G310" s="242" t="s">
        <v>468</v>
      </c>
      <c r="H310" s="242"/>
      <c r="I310" s="242">
        <v>0</v>
      </c>
      <c r="J310" s="262">
        <v>180</v>
      </c>
      <c r="K310" s="312">
        <v>210</v>
      </c>
      <c r="L310" s="263">
        <f t="shared" si="4"/>
        <v>37800</v>
      </c>
    </row>
    <row r="311" spans="1:12" ht="15.75" x14ac:dyDescent="0.25">
      <c r="A311" s="7"/>
      <c r="B311" s="245">
        <v>45292</v>
      </c>
      <c r="C311" s="245">
        <v>45292</v>
      </c>
      <c r="D311" s="269">
        <v>1492</v>
      </c>
      <c r="E311" s="251" t="s">
        <v>752</v>
      </c>
      <c r="F311" s="242" t="s">
        <v>467</v>
      </c>
      <c r="G311" s="242" t="s">
        <v>468</v>
      </c>
      <c r="H311" s="242"/>
      <c r="I311" s="242">
        <v>72</v>
      </c>
      <c r="J311" s="262">
        <v>288</v>
      </c>
      <c r="K311" s="314">
        <v>207.06</v>
      </c>
      <c r="L311" s="263">
        <f t="shared" si="4"/>
        <v>59633.279999999999</v>
      </c>
    </row>
    <row r="312" spans="1:12" ht="15.75" x14ac:dyDescent="0.25">
      <c r="A312" s="7"/>
      <c r="B312" s="245">
        <v>45292</v>
      </c>
      <c r="C312" s="245">
        <v>45292</v>
      </c>
      <c r="D312" s="269">
        <v>1052</v>
      </c>
      <c r="E312" s="251" t="s">
        <v>753</v>
      </c>
      <c r="F312" s="242" t="s">
        <v>467</v>
      </c>
      <c r="G312" s="242" t="s">
        <v>468</v>
      </c>
      <c r="H312" s="242"/>
      <c r="I312" s="242">
        <v>0</v>
      </c>
      <c r="J312" s="262">
        <v>36</v>
      </c>
      <c r="K312" s="312">
        <v>255.74</v>
      </c>
      <c r="L312" s="263">
        <f t="shared" si="4"/>
        <v>9206.64</v>
      </c>
    </row>
    <row r="313" spans="1:12" ht="15.75" x14ac:dyDescent="0.25">
      <c r="A313" s="7"/>
      <c r="B313" s="245">
        <v>45292</v>
      </c>
      <c r="C313" s="245">
        <v>45292</v>
      </c>
      <c r="D313" s="269">
        <v>1053</v>
      </c>
      <c r="E313" s="251" t="s">
        <v>754</v>
      </c>
      <c r="F313" s="242" t="s">
        <v>467</v>
      </c>
      <c r="G313" s="242" t="s">
        <v>468</v>
      </c>
      <c r="H313" s="242"/>
      <c r="I313" s="242">
        <v>0</v>
      </c>
      <c r="J313" s="262">
        <v>84</v>
      </c>
      <c r="K313" s="312">
        <v>495</v>
      </c>
      <c r="L313" s="263">
        <f t="shared" si="4"/>
        <v>41580</v>
      </c>
    </row>
    <row r="314" spans="1:12" ht="15.75" x14ac:dyDescent="0.25">
      <c r="A314" s="7"/>
      <c r="B314" s="245">
        <v>45292</v>
      </c>
      <c r="C314" s="245">
        <v>45292</v>
      </c>
      <c r="D314" s="269">
        <v>1054</v>
      </c>
      <c r="E314" s="251" t="s">
        <v>2380</v>
      </c>
      <c r="F314" s="242" t="s">
        <v>467</v>
      </c>
      <c r="G314" s="242" t="s">
        <v>468</v>
      </c>
      <c r="H314" s="242"/>
      <c r="I314" s="242">
        <v>36</v>
      </c>
      <c r="J314" s="262">
        <v>72</v>
      </c>
      <c r="K314" s="312">
        <v>397.63</v>
      </c>
      <c r="L314" s="263">
        <f t="shared" si="4"/>
        <v>28629.360000000001</v>
      </c>
    </row>
    <row r="315" spans="1:12" ht="15.75" x14ac:dyDescent="0.25">
      <c r="A315" s="7"/>
      <c r="B315" s="245">
        <v>45292</v>
      </c>
      <c r="C315" s="245">
        <v>45292</v>
      </c>
      <c r="D315" s="269">
        <v>1404</v>
      </c>
      <c r="E315" s="251" t="s">
        <v>755</v>
      </c>
      <c r="F315" s="242" t="s">
        <v>467</v>
      </c>
      <c r="G315" s="242" t="s">
        <v>468</v>
      </c>
      <c r="H315" s="242"/>
      <c r="I315" s="242">
        <v>24</v>
      </c>
      <c r="J315" s="262">
        <v>24</v>
      </c>
      <c r="K315" s="312">
        <v>990</v>
      </c>
      <c r="L315" s="263">
        <f t="shared" si="4"/>
        <v>23760</v>
      </c>
    </row>
    <row r="316" spans="1:12" ht="15.75" x14ac:dyDescent="0.25">
      <c r="A316" s="7"/>
      <c r="B316" s="245">
        <v>45292</v>
      </c>
      <c r="C316" s="245">
        <v>45292</v>
      </c>
      <c r="D316" s="269">
        <v>1055</v>
      </c>
      <c r="E316" s="251" t="s">
        <v>757</v>
      </c>
      <c r="F316" s="242" t="s">
        <v>467</v>
      </c>
      <c r="G316" s="242" t="s">
        <v>468</v>
      </c>
      <c r="H316" s="242">
        <v>10000</v>
      </c>
      <c r="I316" s="242">
        <v>2900</v>
      </c>
      <c r="J316" s="262">
        <v>7300</v>
      </c>
      <c r="K316" s="311">
        <v>6.8999999999999995</v>
      </c>
      <c r="L316" s="263">
        <f t="shared" si="4"/>
        <v>50369.999999999993</v>
      </c>
    </row>
    <row r="317" spans="1:12" ht="15.75" x14ac:dyDescent="0.25">
      <c r="A317" s="7"/>
      <c r="B317" s="245">
        <v>45292</v>
      </c>
      <c r="C317" s="245">
        <v>45292</v>
      </c>
      <c r="D317" s="269">
        <v>16567</v>
      </c>
      <c r="E317" s="251" t="s">
        <v>758</v>
      </c>
      <c r="F317" s="242" t="s">
        <v>467</v>
      </c>
      <c r="G317" s="242" t="s">
        <v>468</v>
      </c>
      <c r="H317" s="242"/>
      <c r="I317" s="242">
        <v>25</v>
      </c>
      <c r="J317" s="262">
        <v>190</v>
      </c>
      <c r="K317" s="313">
        <v>236</v>
      </c>
      <c r="L317" s="263">
        <f t="shared" si="4"/>
        <v>44840</v>
      </c>
    </row>
    <row r="318" spans="1:12" ht="15.75" x14ac:dyDescent="0.25">
      <c r="A318" s="7"/>
      <c r="B318" s="245">
        <v>45292</v>
      </c>
      <c r="C318" s="245">
        <v>45292</v>
      </c>
      <c r="D318" s="269">
        <v>6291</v>
      </c>
      <c r="E318" s="251" t="s">
        <v>759</v>
      </c>
      <c r="F318" s="242" t="s">
        <v>467</v>
      </c>
      <c r="G318" s="242" t="s">
        <v>468</v>
      </c>
      <c r="H318" s="242"/>
      <c r="I318" s="242">
        <v>0</v>
      </c>
      <c r="J318" s="262">
        <v>4</v>
      </c>
      <c r="K318" s="312">
        <v>43960</v>
      </c>
      <c r="L318" s="263">
        <f t="shared" si="4"/>
        <v>175840</v>
      </c>
    </row>
    <row r="319" spans="1:12" ht="15.75" x14ac:dyDescent="0.25">
      <c r="A319" s="7"/>
      <c r="B319" s="245">
        <v>45292</v>
      </c>
      <c r="C319" s="245">
        <v>45292</v>
      </c>
      <c r="D319" s="269">
        <v>1061</v>
      </c>
      <c r="E319" s="251" t="s">
        <v>761</v>
      </c>
      <c r="F319" s="242" t="s">
        <v>467</v>
      </c>
      <c r="G319" s="242" t="s">
        <v>468</v>
      </c>
      <c r="H319" s="242"/>
      <c r="I319" s="242">
        <v>20</v>
      </c>
      <c r="J319" s="262">
        <v>200</v>
      </c>
      <c r="K319" s="313">
        <v>1780</v>
      </c>
      <c r="L319" s="263">
        <f t="shared" si="4"/>
        <v>356000</v>
      </c>
    </row>
    <row r="320" spans="1:12" ht="15.75" x14ac:dyDescent="0.25">
      <c r="A320" s="7"/>
      <c r="B320" s="245">
        <v>45292</v>
      </c>
      <c r="C320" s="245">
        <v>45292</v>
      </c>
      <c r="D320" s="269">
        <v>1078</v>
      </c>
      <c r="E320" s="251" t="s">
        <v>765</v>
      </c>
      <c r="F320" s="242" t="s">
        <v>467</v>
      </c>
      <c r="G320" s="242" t="s">
        <v>468</v>
      </c>
      <c r="H320" s="242"/>
      <c r="I320" s="242">
        <v>1900</v>
      </c>
      <c r="J320" s="262">
        <v>261800</v>
      </c>
      <c r="K320" s="311">
        <v>6.49</v>
      </c>
      <c r="L320" s="263">
        <f t="shared" si="4"/>
        <v>1699082</v>
      </c>
    </row>
    <row r="321" spans="1:12" ht="15.75" x14ac:dyDescent="0.25">
      <c r="A321" s="7"/>
      <c r="B321" s="245">
        <v>45292</v>
      </c>
      <c r="C321" s="245">
        <v>45292</v>
      </c>
      <c r="D321" s="269">
        <v>1071</v>
      </c>
      <c r="E321" s="251" t="s">
        <v>766</v>
      </c>
      <c r="F321" s="242" t="s">
        <v>467</v>
      </c>
      <c r="G321" s="242" t="s">
        <v>468</v>
      </c>
      <c r="H321" s="242">
        <f>300+25000</f>
        <v>25300</v>
      </c>
      <c r="I321" s="242">
        <v>4700</v>
      </c>
      <c r="J321" s="262">
        <v>22800</v>
      </c>
      <c r="K321" s="312">
        <v>5.3100000000000005</v>
      </c>
      <c r="L321" s="263">
        <f t="shared" si="4"/>
        <v>121068.00000000001</v>
      </c>
    </row>
    <row r="322" spans="1:12" ht="15.75" x14ac:dyDescent="0.25">
      <c r="A322" s="7"/>
      <c r="B322" s="245">
        <v>45292</v>
      </c>
      <c r="C322" s="245">
        <v>45292</v>
      </c>
      <c r="D322" s="269">
        <v>1072</v>
      </c>
      <c r="E322" s="251" t="s">
        <v>767</v>
      </c>
      <c r="F322" s="242" t="s">
        <v>467</v>
      </c>
      <c r="G322" s="242" t="s">
        <v>468</v>
      </c>
      <c r="H322" s="242">
        <v>3000</v>
      </c>
      <c r="I322" s="242">
        <v>1000</v>
      </c>
      <c r="J322" s="262">
        <v>2550</v>
      </c>
      <c r="K322" s="311">
        <v>9.1999999999999993</v>
      </c>
      <c r="L322" s="263">
        <f t="shared" si="4"/>
        <v>23460</v>
      </c>
    </row>
    <row r="323" spans="1:12" ht="15.75" x14ac:dyDescent="0.25">
      <c r="A323" s="7"/>
      <c r="B323" s="245">
        <v>45292</v>
      </c>
      <c r="C323" s="245">
        <v>45292</v>
      </c>
      <c r="D323" s="269">
        <v>1073</v>
      </c>
      <c r="E323" s="251" t="s">
        <v>768</v>
      </c>
      <c r="F323" s="242" t="s">
        <v>467</v>
      </c>
      <c r="G323" s="242" t="s">
        <v>468</v>
      </c>
      <c r="H323" s="242"/>
      <c r="I323" s="242">
        <v>800</v>
      </c>
      <c r="J323" s="262">
        <v>116100</v>
      </c>
      <c r="K323" s="311">
        <v>3.98</v>
      </c>
      <c r="L323" s="263">
        <f t="shared" si="4"/>
        <v>462078</v>
      </c>
    </row>
    <row r="324" spans="1:12" ht="15.75" x14ac:dyDescent="0.25">
      <c r="A324" s="7"/>
      <c r="B324" s="245">
        <v>45292</v>
      </c>
      <c r="C324" s="245">
        <v>45292</v>
      </c>
      <c r="D324" s="269">
        <v>1075</v>
      </c>
      <c r="E324" s="251" t="s">
        <v>769</v>
      </c>
      <c r="F324" s="242" t="s">
        <v>467</v>
      </c>
      <c r="G324" s="242" t="s">
        <v>468</v>
      </c>
      <c r="H324" s="242">
        <v>7000</v>
      </c>
      <c r="I324" s="242">
        <v>2500</v>
      </c>
      <c r="J324" s="262">
        <v>6300</v>
      </c>
      <c r="K324" s="312">
        <v>3.8899999999999997</v>
      </c>
      <c r="L324" s="263">
        <f t="shared" si="4"/>
        <v>24506.999999999996</v>
      </c>
    </row>
    <row r="325" spans="1:12" ht="15.75" x14ac:dyDescent="0.25">
      <c r="A325" s="7"/>
      <c r="B325" s="245">
        <v>45292</v>
      </c>
      <c r="C325" s="245">
        <v>45292</v>
      </c>
      <c r="D325" s="269">
        <v>11771</v>
      </c>
      <c r="E325" s="251" t="s">
        <v>770</v>
      </c>
      <c r="F325" s="242" t="s">
        <v>467</v>
      </c>
      <c r="G325" s="242" t="s">
        <v>468</v>
      </c>
      <c r="H325" s="242"/>
      <c r="I325" s="242">
        <v>0</v>
      </c>
      <c r="J325" s="262">
        <v>200</v>
      </c>
      <c r="K325" s="312">
        <v>17.7</v>
      </c>
      <c r="L325" s="263">
        <f t="shared" si="4"/>
        <v>3540</v>
      </c>
    </row>
    <row r="326" spans="1:12" ht="15.75" x14ac:dyDescent="0.25">
      <c r="A326" s="7"/>
      <c r="B326" s="245">
        <v>45292</v>
      </c>
      <c r="C326" s="245">
        <v>45292</v>
      </c>
      <c r="D326" s="269">
        <v>19265</v>
      </c>
      <c r="E326" s="251" t="s">
        <v>771</v>
      </c>
      <c r="F326" s="242" t="s">
        <v>467</v>
      </c>
      <c r="G326" s="242" t="s">
        <v>468</v>
      </c>
      <c r="H326" s="242"/>
      <c r="I326" s="242">
        <v>0</v>
      </c>
      <c r="J326" s="262">
        <v>300</v>
      </c>
      <c r="K326" s="312">
        <v>5.9</v>
      </c>
      <c r="L326" s="263">
        <f t="shared" si="4"/>
        <v>1770</v>
      </c>
    </row>
    <row r="327" spans="1:12" ht="15.75" x14ac:dyDescent="0.25">
      <c r="A327" s="7"/>
      <c r="B327" s="245">
        <v>45292</v>
      </c>
      <c r="C327" s="245">
        <v>45292</v>
      </c>
      <c r="D327" s="269">
        <v>6247</v>
      </c>
      <c r="E327" s="251" t="s">
        <v>1979</v>
      </c>
      <c r="F327" s="242" t="s">
        <v>467</v>
      </c>
      <c r="G327" s="242" t="s">
        <v>468</v>
      </c>
      <c r="H327" s="242"/>
      <c r="I327" s="242">
        <v>0</v>
      </c>
      <c r="J327" s="262">
        <v>4300</v>
      </c>
      <c r="K327" s="311">
        <v>5.19</v>
      </c>
      <c r="L327" s="263">
        <f t="shared" si="4"/>
        <v>22317</v>
      </c>
    </row>
    <row r="328" spans="1:12" ht="15.75" x14ac:dyDescent="0.25">
      <c r="A328" s="7"/>
      <c r="B328" s="245">
        <v>45292</v>
      </c>
      <c r="C328" s="245">
        <v>45292</v>
      </c>
      <c r="D328" s="269">
        <v>1022</v>
      </c>
      <c r="E328" s="251" t="s">
        <v>792</v>
      </c>
      <c r="F328" s="242" t="s">
        <v>470</v>
      </c>
      <c r="G328" s="242" t="s">
        <v>480</v>
      </c>
      <c r="H328" s="242"/>
      <c r="I328" s="242">
        <v>0</v>
      </c>
      <c r="J328" s="262">
        <v>160</v>
      </c>
      <c r="K328" s="312">
        <v>40</v>
      </c>
      <c r="L328" s="263">
        <f t="shared" si="4"/>
        <v>6400</v>
      </c>
    </row>
    <row r="329" spans="1:12" ht="15.75" x14ac:dyDescent="0.25">
      <c r="A329" s="7"/>
      <c r="B329" s="245">
        <v>45292</v>
      </c>
      <c r="C329" s="245">
        <v>45292</v>
      </c>
      <c r="D329" s="269">
        <v>10109</v>
      </c>
      <c r="E329" s="251" t="s">
        <v>774</v>
      </c>
      <c r="F329" s="242" t="s">
        <v>467</v>
      </c>
      <c r="G329" s="242" t="s">
        <v>468</v>
      </c>
      <c r="H329" s="242"/>
      <c r="I329" s="242">
        <v>100</v>
      </c>
      <c r="J329" s="262">
        <v>500</v>
      </c>
      <c r="K329" s="312">
        <v>388</v>
      </c>
      <c r="L329" s="263">
        <f t="shared" si="4"/>
        <v>194000</v>
      </c>
    </row>
    <row r="330" spans="1:12" ht="15.75" x14ac:dyDescent="0.25">
      <c r="A330" s="7"/>
      <c r="B330" s="245">
        <v>45292</v>
      </c>
      <c r="C330" s="245">
        <v>45292</v>
      </c>
      <c r="D330" s="269">
        <v>17092</v>
      </c>
      <c r="E330" s="251" t="s">
        <v>2381</v>
      </c>
      <c r="F330" s="242" t="s">
        <v>470</v>
      </c>
      <c r="G330" s="242" t="s">
        <v>474</v>
      </c>
      <c r="H330" s="242"/>
      <c r="I330" s="242">
        <v>835</v>
      </c>
      <c r="J330" s="262">
        <v>3615</v>
      </c>
      <c r="K330" s="312">
        <v>455</v>
      </c>
      <c r="L330" s="263">
        <f t="shared" si="4"/>
        <v>1644825</v>
      </c>
    </row>
    <row r="331" spans="1:12" ht="15.75" x14ac:dyDescent="0.25">
      <c r="A331" s="7"/>
      <c r="B331" s="245">
        <v>45292</v>
      </c>
      <c r="C331" s="245">
        <v>45292</v>
      </c>
      <c r="D331" s="269">
        <v>1085</v>
      </c>
      <c r="E331" s="251" t="s">
        <v>775</v>
      </c>
      <c r="F331" s="242" t="s">
        <v>467</v>
      </c>
      <c r="G331" s="242" t="s">
        <v>776</v>
      </c>
      <c r="H331" s="242"/>
      <c r="I331" s="242">
        <v>0</v>
      </c>
      <c r="J331" s="262">
        <v>39</v>
      </c>
      <c r="K331" s="312">
        <v>10460</v>
      </c>
      <c r="L331" s="263">
        <f t="shared" si="4"/>
        <v>407940</v>
      </c>
    </row>
    <row r="332" spans="1:12" ht="15.75" x14ac:dyDescent="0.25">
      <c r="A332" s="7"/>
      <c r="B332" s="245">
        <v>45292</v>
      </c>
      <c r="C332" s="245">
        <v>45292</v>
      </c>
      <c r="D332" s="269">
        <v>1334</v>
      </c>
      <c r="E332" s="251" t="s">
        <v>805</v>
      </c>
      <c r="F332" s="242" t="s">
        <v>470</v>
      </c>
      <c r="G332" s="242" t="s">
        <v>474</v>
      </c>
      <c r="H332" s="242"/>
      <c r="I332" s="242">
        <v>0</v>
      </c>
      <c r="J332" s="262">
        <v>167</v>
      </c>
      <c r="K332" s="312">
        <v>300</v>
      </c>
      <c r="L332" s="263">
        <f t="shared" si="4"/>
        <v>50100</v>
      </c>
    </row>
    <row r="333" spans="1:12" ht="15.75" x14ac:dyDescent="0.25">
      <c r="A333" s="7"/>
      <c r="B333" s="245">
        <v>45292</v>
      </c>
      <c r="C333" s="245">
        <v>45292</v>
      </c>
      <c r="D333" s="269">
        <v>1082</v>
      </c>
      <c r="E333" s="251" t="s">
        <v>1980</v>
      </c>
      <c r="F333" s="242" t="s">
        <v>467</v>
      </c>
      <c r="G333" s="242" t="s">
        <v>468</v>
      </c>
      <c r="H333" s="242"/>
      <c r="I333" s="242">
        <v>0</v>
      </c>
      <c r="J333" s="262">
        <v>5</v>
      </c>
      <c r="K333" s="311">
        <v>25005</v>
      </c>
      <c r="L333" s="263">
        <f t="shared" si="4"/>
        <v>125025</v>
      </c>
    </row>
    <row r="334" spans="1:12" ht="15.75" x14ac:dyDescent="0.25">
      <c r="A334" s="7"/>
      <c r="B334" s="245">
        <v>45292</v>
      </c>
      <c r="C334" s="245">
        <v>45292</v>
      </c>
      <c r="D334" s="269">
        <v>1105</v>
      </c>
      <c r="E334" s="251" t="s">
        <v>806</v>
      </c>
      <c r="F334" s="242" t="s">
        <v>470</v>
      </c>
      <c r="G334" s="242" t="s">
        <v>474</v>
      </c>
      <c r="H334" s="242"/>
      <c r="I334" s="242">
        <v>110</v>
      </c>
      <c r="J334" s="262">
        <v>10</v>
      </c>
      <c r="K334" s="311">
        <v>140</v>
      </c>
      <c r="L334" s="263">
        <f t="shared" ref="L334:L397" si="5">+K334*J334</f>
        <v>1400</v>
      </c>
    </row>
    <row r="335" spans="1:12" ht="15.75" x14ac:dyDescent="0.25">
      <c r="A335" s="7"/>
      <c r="B335" s="245">
        <v>45292</v>
      </c>
      <c r="C335" s="245">
        <v>45292</v>
      </c>
      <c r="D335" s="269">
        <v>1083</v>
      </c>
      <c r="E335" s="251" t="s">
        <v>778</v>
      </c>
      <c r="F335" s="242" t="s">
        <v>467</v>
      </c>
      <c r="G335" s="242" t="s">
        <v>468</v>
      </c>
      <c r="H335" s="242"/>
      <c r="I335" s="242">
        <v>40</v>
      </c>
      <c r="J335" s="262">
        <v>220</v>
      </c>
      <c r="K335" s="311">
        <v>966</v>
      </c>
      <c r="L335" s="263">
        <f t="shared" si="5"/>
        <v>212520</v>
      </c>
    </row>
    <row r="336" spans="1:12" ht="15.75" x14ac:dyDescent="0.25">
      <c r="A336" s="7"/>
      <c r="B336" s="245">
        <v>45292</v>
      </c>
      <c r="C336" s="245">
        <v>45292</v>
      </c>
      <c r="D336" s="269">
        <v>1104</v>
      </c>
      <c r="E336" s="251" t="s">
        <v>807</v>
      </c>
      <c r="F336" s="242" t="s">
        <v>470</v>
      </c>
      <c r="G336" s="242" t="s">
        <v>468</v>
      </c>
      <c r="H336" s="242"/>
      <c r="I336" s="242">
        <v>2</v>
      </c>
      <c r="J336" s="262">
        <v>20</v>
      </c>
      <c r="K336" s="314">
        <v>720</v>
      </c>
      <c r="L336" s="263">
        <f t="shared" si="5"/>
        <v>14400</v>
      </c>
    </row>
    <row r="337" spans="1:12" ht="15.75" x14ac:dyDescent="0.25">
      <c r="A337" s="7"/>
      <c r="B337" s="245">
        <v>45292</v>
      </c>
      <c r="C337" s="245">
        <v>45292</v>
      </c>
      <c r="D337" s="269">
        <v>1107</v>
      </c>
      <c r="E337" s="251" t="s">
        <v>808</v>
      </c>
      <c r="F337" s="242" t="s">
        <v>470</v>
      </c>
      <c r="G337" s="242" t="s">
        <v>468</v>
      </c>
      <c r="H337" s="242"/>
      <c r="I337" s="242">
        <v>15</v>
      </c>
      <c r="J337" s="262">
        <v>87</v>
      </c>
      <c r="K337" s="312">
        <v>320</v>
      </c>
      <c r="L337" s="263">
        <f t="shared" si="5"/>
        <v>27840</v>
      </c>
    </row>
    <row r="338" spans="1:12" ht="15.75" x14ac:dyDescent="0.25">
      <c r="A338" s="7"/>
      <c r="B338" s="245">
        <v>45292</v>
      </c>
      <c r="C338" s="245">
        <v>45292</v>
      </c>
      <c r="D338" s="269">
        <v>1108</v>
      </c>
      <c r="E338" s="251" t="s">
        <v>809</v>
      </c>
      <c r="F338" s="242" t="s">
        <v>470</v>
      </c>
      <c r="G338" s="242" t="s">
        <v>468</v>
      </c>
      <c r="H338" s="242"/>
      <c r="I338" s="242">
        <v>96</v>
      </c>
      <c r="J338" s="262">
        <v>24</v>
      </c>
      <c r="K338" s="312">
        <v>90</v>
      </c>
      <c r="L338" s="263">
        <f t="shared" si="5"/>
        <v>2160</v>
      </c>
    </row>
    <row r="339" spans="1:12" ht="15.75" x14ac:dyDescent="0.25">
      <c r="A339" s="7"/>
      <c r="B339" s="245">
        <v>45292</v>
      </c>
      <c r="C339" s="245">
        <v>45292</v>
      </c>
      <c r="D339" s="269">
        <v>1070</v>
      </c>
      <c r="E339" s="251" t="s">
        <v>764</v>
      </c>
      <c r="F339" s="242" t="s">
        <v>469</v>
      </c>
      <c r="G339" s="242" t="s">
        <v>483</v>
      </c>
      <c r="H339" s="242"/>
      <c r="I339" s="242">
        <v>6</v>
      </c>
      <c r="J339" s="262">
        <v>32</v>
      </c>
      <c r="K339" s="311">
        <v>1560</v>
      </c>
      <c r="L339" s="263">
        <f t="shared" si="5"/>
        <v>49920</v>
      </c>
    </row>
    <row r="340" spans="1:12" ht="15.75" x14ac:dyDescent="0.25">
      <c r="A340" s="7"/>
      <c r="B340" s="245">
        <v>45292</v>
      </c>
      <c r="C340" s="245">
        <v>45292</v>
      </c>
      <c r="D340" s="269">
        <v>1084</v>
      </c>
      <c r="E340" s="251" t="s">
        <v>779</v>
      </c>
      <c r="F340" s="242" t="s">
        <v>467</v>
      </c>
      <c r="G340" s="242" t="s">
        <v>468</v>
      </c>
      <c r="H340" s="242">
        <v>60</v>
      </c>
      <c r="I340" s="242">
        <v>20</v>
      </c>
      <c r="J340" s="262">
        <v>60</v>
      </c>
      <c r="K340" s="313">
        <v>268.45</v>
      </c>
      <c r="L340" s="263">
        <f t="shared" si="5"/>
        <v>16107</v>
      </c>
    </row>
    <row r="341" spans="1:12" ht="15.75" x14ac:dyDescent="0.25">
      <c r="A341" s="7"/>
      <c r="B341" s="245">
        <v>45292</v>
      </c>
      <c r="C341" s="245">
        <v>45292</v>
      </c>
      <c r="D341" s="269">
        <v>18312</v>
      </c>
      <c r="E341" s="251" t="s">
        <v>2523</v>
      </c>
      <c r="F341" s="242" t="s">
        <v>467</v>
      </c>
      <c r="G341" s="242" t="s">
        <v>468</v>
      </c>
      <c r="H341" s="242">
        <v>120</v>
      </c>
      <c r="I341" s="242">
        <v>10</v>
      </c>
      <c r="J341" s="262">
        <v>110</v>
      </c>
      <c r="K341" s="314">
        <v>885</v>
      </c>
      <c r="L341" s="263">
        <f t="shared" si="5"/>
        <v>97350</v>
      </c>
    </row>
    <row r="342" spans="1:12" ht="15.75" x14ac:dyDescent="0.25">
      <c r="A342" s="7"/>
      <c r="B342" s="245">
        <v>45292</v>
      </c>
      <c r="C342" s="245">
        <v>45292</v>
      </c>
      <c r="D342" s="269">
        <v>18313</v>
      </c>
      <c r="E342" s="251" t="s">
        <v>780</v>
      </c>
      <c r="F342" s="242" t="s">
        <v>467</v>
      </c>
      <c r="G342" s="242" t="s">
        <v>468</v>
      </c>
      <c r="H342" s="242">
        <v>120</v>
      </c>
      <c r="I342" s="242">
        <v>19</v>
      </c>
      <c r="J342" s="262">
        <v>110</v>
      </c>
      <c r="K342" s="312">
        <v>885</v>
      </c>
      <c r="L342" s="263">
        <f t="shared" si="5"/>
        <v>97350</v>
      </c>
    </row>
    <row r="343" spans="1:12" ht="15.75" x14ac:dyDescent="0.25">
      <c r="A343" s="7"/>
      <c r="B343" s="245">
        <v>45292</v>
      </c>
      <c r="C343" s="245">
        <v>45292</v>
      </c>
      <c r="D343" s="269">
        <v>21632</v>
      </c>
      <c r="E343" s="251" t="s">
        <v>781</v>
      </c>
      <c r="F343" s="242" t="s">
        <v>467</v>
      </c>
      <c r="G343" s="242" t="s">
        <v>468</v>
      </c>
      <c r="H343" s="242"/>
      <c r="I343" s="242">
        <v>0</v>
      </c>
      <c r="J343" s="262">
        <v>17</v>
      </c>
      <c r="K343" s="312">
        <v>2342.3000000000002</v>
      </c>
      <c r="L343" s="263">
        <f t="shared" si="5"/>
        <v>39819.100000000006</v>
      </c>
    </row>
    <row r="344" spans="1:12" ht="15.75" x14ac:dyDescent="0.25">
      <c r="A344" s="7"/>
      <c r="B344" s="245">
        <v>45292</v>
      </c>
      <c r="C344" s="245">
        <v>45292</v>
      </c>
      <c r="D344" s="269">
        <v>935</v>
      </c>
      <c r="E344" s="251" t="s">
        <v>782</v>
      </c>
      <c r="F344" s="242" t="s">
        <v>467</v>
      </c>
      <c r="G344" s="242" t="s">
        <v>468</v>
      </c>
      <c r="H344" s="242"/>
      <c r="I344" s="242">
        <v>2</v>
      </c>
      <c r="J344" s="262">
        <v>5</v>
      </c>
      <c r="K344" s="312">
        <v>22250</v>
      </c>
      <c r="L344" s="263">
        <f t="shared" si="5"/>
        <v>111250</v>
      </c>
    </row>
    <row r="345" spans="1:12" ht="15.75" x14ac:dyDescent="0.25">
      <c r="A345" s="7"/>
      <c r="B345" s="245">
        <v>45292</v>
      </c>
      <c r="C345" s="245">
        <v>45292</v>
      </c>
      <c r="D345" s="269">
        <v>5785</v>
      </c>
      <c r="E345" s="251" t="s">
        <v>783</v>
      </c>
      <c r="F345" s="242" t="s">
        <v>467</v>
      </c>
      <c r="G345" s="242" t="s">
        <v>468</v>
      </c>
      <c r="H345" s="242"/>
      <c r="I345" s="242">
        <v>0</v>
      </c>
      <c r="J345" s="262">
        <v>11</v>
      </c>
      <c r="K345" s="312">
        <v>22250</v>
      </c>
      <c r="L345" s="263">
        <f t="shared" si="5"/>
        <v>244750</v>
      </c>
    </row>
    <row r="346" spans="1:12" ht="15.75" x14ac:dyDescent="0.25">
      <c r="A346" s="7"/>
      <c r="B346" s="245">
        <v>45292</v>
      </c>
      <c r="C346" s="245">
        <v>45292</v>
      </c>
      <c r="D346" s="269">
        <v>21735</v>
      </c>
      <c r="E346" s="251" t="s">
        <v>784</v>
      </c>
      <c r="F346" s="242" t="s">
        <v>467</v>
      </c>
      <c r="G346" s="242" t="s">
        <v>468</v>
      </c>
      <c r="H346" s="242"/>
      <c r="I346" s="242">
        <v>6</v>
      </c>
      <c r="J346" s="262">
        <v>14</v>
      </c>
      <c r="K346" s="312">
        <v>2456.5</v>
      </c>
      <c r="L346" s="263">
        <f t="shared" si="5"/>
        <v>34391</v>
      </c>
    </row>
    <row r="347" spans="1:12" ht="15.75" x14ac:dyDescent="0.25">
      <c r="A347" s="7"/>
      <c r="B347" s="245">
        <v>45292</v>
      </c>
      <c r="C347" s="245">
        <v>45292</v>
      </c>
      <c r="D347" s="269">
        <v>17983</v>
      </c>
      <c r="E347" s="251" t="s">
        <v>787</v>
      </c>
      <c r="F347" s="242" t="s">
        <v>467</v>
      </c>
      <c r="G347" s="242" t="s">
        <v>468</v>
      </c>
      <c r="H347" s="242"/>
      <c r="I347" s="242">
        <v>0</v>
      </c>
      <c r="J347" s="262">
        <v>30</v>
      </c>
      <c r="K347" s="312">
        <v>3870.4</v>
      </c>
      <c r="L347" s="263">
        <f t="shared" si="5"/>
        <v>116112</v>
      </c>
    </row>
    <row r="348" spans="1:12" ht="15.75" x14ac:dyDescent="0.25">
      <c r="A348" s="7"/>
      <c r="B348" s="245">
        <v>45292</v>
      </c>
      <c r="C348" s="245">
        <v>45292</v>
      </c>
      <c r="D348" s="269">
        <v>20104</v>
      </c>
      <c r="E348" s="251" t="s">
        <v>788</v>
      </c>
      <c r="F348" s="242" t="s">
        <v>467</v>
      </c>
      <c r="G348" s="242" t="s">
        <v>468</v>
      </c>
      <c r="H348" s="242"/>
      <c r="I348" s="242">
        <v>0</v>
      </c>
      <c r="J348" s="262">
        <v>48</v>
      </c>
      <c r="K348" s="311">
        <v>5015</v>
      </c>
      <c r="L348" s="263">
        <f t="shared" si="5"/>
        <v>240720</v>
      </c>
    </row>
    <row r="349" spans="1:12" ht="15.75" x14ac:dyDescent="0.25">
      <c r="A349" s="7"/>
      <c r="B349" s="245">
        <v>45292</v>
      </c>
      <c r="C349" s="245">
        <v>45292</v>
      </c>
      <c r="D349" s="269">
        <v>15396</v>
      </c>
      <c r="E349" s="251" t="s">
        <v>789</v>
      </c>
      <c r="F349" s="242" t="s">
        <v>467</v>
      </c>
      <c r="G349" s="242" t="s">
        <v>468</v>
      </c>
      <c r="H349" s="242"/>
      <c r="I349" s="242">
        <v>0</v>
      </c>
      <c r="J349" s="262">
        <v>1</v>
      </c>
      <c r="K349" s="313">
        <v>5015</v>
      </c>
      <c r="L349" s="263">
        <f t="shared" si="5"/>
        <v>5015</v>
      </c>
    </row>
    <row r="350" spans="1:12" ht="15.75" x14ac:dyDescent="0.25">
      <c r="A350" s="7"/>
      <c r="B350" s="245">
        <v>45292</v>
      </c>
      <c r="C350" s="245">
        <v>45292</v>
      </c>
      <c r="D350" s="269">
        <v>20709</v>
      </c>
      <c r="E350" s="251" t="s">
        <v>790</v>
      </c>
      <c r="F350" s="242" t="s">
        <v>467</v>
      </c>
      <c r="G350" s="242" t="s">
        <v>468</v>
      </c>
      <c r="H350" s="242"/>
      <c r="I350" s="242">
        <v>0</v>
      </c>
      <c r="J350" s="262">
        <v>24</v>
      </c>
      <c r="K350" s="311">
        <v>938.72</v>
      </c>
      <c r="L350" s="263">
        <f t="shared" si="5"/>
        <v>22529.279999999999</v>
      </c>
    </row>
    <row r="351" spans="1:12" ht="15.75" x14ac:dyDescent="0.25">
      <c r="A351" s="7"/>
      <c r="B351" s="245">
        <v>45292</v>
      </c>
      <c r="C351" s="245">
        <v>45292</v>
      </c>
      <c r="D351" s="269">
        <v>18871</v>
      </c>
      <c r="E351" s="251" t="s">
        <v>2382</v>
      </c>
      <c r="F351" s="242" t="s">
        <v>470</v>
      </c>
      <c r="G351" s="242" t="s">
        <v>474</v>
      </c>
      <c r="H351" s="242"/>
      <c r="I351" s="242">
        <v>16</v>
      </c>
      <c r="J351" s="262">
        <v>74</v>
      </c>
      <c r="K351" s="312">
        <v>1998</v>
      </c>
      <c r="L351" s="263">
        <f t="shared" si="5"/>
        <v>147852</v>
      </c>
    </row>
    <row r="352" spans="1:12" ht="15.75" x14ac:dyDescent="0.25">
      <c r="A352" s="7"/>
      <c r="B352" s="245">
        <v>45292</v>
      </c>
      <c r="C352" s="245">
        <v>45292</v>
      </c>
      <c r="D352" s="269">
        <v>9558</v>
      </c>
      <c r="E352" s="251" t="s">
        <v>810</v>
      </c>
      <c r="F352" s="242" t="s">
        <v>470</v>
      </c>
      <c r="G352" s="242" t="s">
        <v>478</v>
      </c>
      <c r="H352" s="242">
        <v>200</v>
      </c>
      <c r="I352" s="242">
        <v>0</v>
      </c>
      <c r="J352" s="262">
        <v>400</v>
      </c>
      <c r="K352" s="312">
        <v>23.64</v>
      </c>
      <c r="L352" s="263">
        <f t="shared" si="5"/>
        <v>9456</v>
      </c>
    </row>
    <row r="353" spans="1:12" ht="15.75" x14ac:dyDescent="0.25">
      <c r="A353" s="7"/>
      <c r="B353" s="245">
        <v>45292</v>
      </c>
      <c r="C353" s="245">
        <v>45292</v>
      </c>
      <c r="D353" s="269">
        <v>1115</v>
      </c>
      <c r="E353" s="251" t="s">
        <v>811</v>
      </c>
      <c r="F353" s="242" t="s">
        <v>470</v>
      </c>
      <c r="G353" s="242" t="s">
        <v>468</v>
      </c>
      <c r="H353" s="242"/>
      <c r="I353" s="242">
        <v>11</v>
      </c>
      <c r="J353" s="262">
        <v>76</v>
      </c>
      <c r="K353" s="312">
        <v>78</v>
      </c>
      <c r="L353" s="263">
        <f t="shared" si="5"/>
        <v>5928</v>
      </c>
    </row>
    <row r="354" spans="1:12" ht="15.75" x14ac:dyDescent="0.25">
      <c r="A354" s="7"/>
      <c r="B354" s="245">
        <v>45292</v>
      </c>
      <c r="C354" s="245">
        <v>45292</v>
      </c>
      <c r="D354" s="269">
        <v>6449</v>
      </c>
      <c r="E354" s="251" t="s">
        <v>812</v>
      </c>
      <c r="F354" s="242" t="s">
        <v>470</v>
      </c>
      <c r="G354" s="242" t="s">
        <v>468</v>
      </c>
      <c r="H354" s="242"/>
      <c r="I354" s="242">
        <v>0</v>
      </c>
      <c r="J354" s="262">
        <v>12</v>
      </c>
      <c r="K354" s="311">
        <v>17982</v>
      </c>
      <c r="L354" s="263">
        <f t="shared" si="5"/>
        <v>215784</v>
      </c>
    </row>
    <row r="355" spans="1:12" ht="15.75" x14ac:dyDescent="0.25">
      <c r="A355" s="7"/>
      <c r="B355" s="245">
        <v>45292</v>
      </c>
      <c r="C355" s="245">
        <v>45292</v>
      </c>
      <c r="D355" s="269">
        <v>12584</v>
      </c>
      <c r="E355" s="251" t="s">
        <v>791</v>
      </c>
      <c r="F355" s="242" t="s">
        <v>467</v>
      </c>
      <c r="G355" s="242" t="s">
        <v>468</v>
      </c>
      <c r="H355" s="242"/>
      <c r="I355" s="242">
        <v>0</v>
      </c>
      <c r="J355" s="262">
        <v>44</v>
      </c>
      <c r="K355" s="311">
        <v>2950</v>
      </c>
      <c r="L355" s="263">
        <f t="shared" si="5"/>
        <v>129800</v>
      </c>
    </row>
    <row r="356" spans="1:12" ht="15.75" x14ac:dyDescent="0.25">
      <c r="A356" s="7"/>
      <c r="B356" s="245">
        <v>45292</v>
      </c>
      <c r="C356" s="245">
        <v>45292</v>
      </c>
      <c r="D356" s="269">
        <v>280</v>
      </c>
      <c r="E356" s="251" t="s">
        <v>1981</v>
      </c>
      <c r="F356" s="242" t="s">
        <v>467</v>
      </c>
      <c r="G356" s="242" t="s">
        <v>468</v>
      </c>
      <c r="H356" s="242"/>
      <c r="I356" s="242">
        <v>36</v>
      </c>
      <c r="J356" s="262">
        <v>228</v>
      </c>
      <c r="K356" s="314">
        <v>257.24</v>
      </c>
      <c r="L356" s="263">
        <f t="shared" si="5"/>
        <v>58650.720000000001</v>
      </c>
    </row>
    <row r="357" spans="1:12" ht="15.75" x14ac:dyDescent="0.25">
      <c r="A357" s="7"/>
      <c r="B357" s="245">
        <v>45292</v>
      </c>
      <c r="C357" s="245">
        <v>45292</v>
      </c>
      <c r="D357" s="269">
        <v>14361</v>
      </c>
      <c r="E357" s="251" t="s">
        <v>793</v>
      </c>
      <c r="F357" s="242" t="s">
        <v>467</v>
      </c>
      <c r="G357" s="242" t="s">
        <v>468</v>
      </c>
      <c r="H357" s="242"/>
      <c r="I357" s="242">
        <v>0</v>
      </c>
      <c r="J357" s="262">
        <v>1105</v>
      </c>
      <c r="K357" s="311">
        <v>2819.02</v>
      </c>
      <c r="L357" s="263">
        <f t="shared" si="5"/>
        <v>3115017.1</v>
      </c>
    </row>
    <row r="358" spans="1:12" ht="15.75" x14ac:dyDescent="0.25">
      <c r="A358" s="7"/>
      <c r="B358" s="245">
        <v>45309</v>
      </c>
      <c r="C358" s="245">
        <v>45309</v>
      </c>
      <c r="D358" s="269">
        <v>6306</v>
      </c>
      <c r="E358" s="251" t="s">
        <v>777</v>
      </c>
      <c r="F358" s="242" t="s">
        <v>469</v>
      </c>
      <c r="G358" s="242" t="s">
        <v>468</v>
      </c>
      <c r="H358" s="242">
        <v>500</v>
      </c>
      <c r="I358" s="242">
        <v>725</v>
      </c>
      <c r="J358" s="262">
        <v>75</v>
      </c>
      <c r="K358" s="311">
        <v>2580</v>
      </c>
      <c r="L358" s="263">
        <f t="shared" si="5"/>
        <v>193500</v>
      </c>
    </row>
    <row r="359" spans="1:12" ht="15.75" x14ac:dyDescent="0.25">
      <c r="A359" s="7"/>
      <c r="B359" s="245">
        <v>45292</v>
      </c>
      <c r="C359" s="245">
        <v>45292</v>
      </c>
      <c r="D359" s="269">
        <v>20412</v>
      </c>
      <c r="E359" s="251" t="s">
        <v>794</v>
      </c>
      <c r="F359" s="242" t="s">
        <v>467</v>
      </c>
      <c r="G359" s="242" t="s">
        <v>468</v>
      </c>
      <c r="H359" s="242"/>
      <c r="I359" s="242">
        <v>9</v>
      </c>
      <c r="J359" s="262">
        <v>244</v>
      </c>
      <c r="K359" s="312">
        <v>8071.2</v>
      </c>
      <c r="L359" s="263">
        <f t="shared" si="5"/>
        <v>1969372.8</v>
      </c>
    </row>
    <row r="360" spans="1:12" ht="15.75" x14ac:dyDescent="0.25">
      <c r="A360" s="7"/>
      <c r="B360" s="245">
        <v>45292</v>
      </c>
      <c r="C360" s="245">
        <v>45292</v>
      </c>
      <c r="D360" s="269">
        <v>13810</v>
      </c>
      <c r="E360" s="251" t="s">
        <v>795</v>
      </c>
      <c r="F360" s="242" t="s">
        <v>467</v>
      </c>
      <c r="G360" s="242" t="s">
        <v>468</v>
      </c>
      <c r="H360" s="242"/>
      <c r="I360" s="242">
        <v>36</v>
      </c>
      <c r="J360" s="262">
        <v>925</v>
      </c>
      <c r="K360" s="312">
        <v>1316.88</v>
      </c>
      <c r="L360" s="263">
        <f t="shared" si="5"/>
        <v>1218114</v>
      </c>
    </row>
    <row r="361" spans="1:12" ht="15.75" x14ac:dyDescent="0.25">
      <c r="A361" s="7"/>
      <c r="B361" s="245">
        <v>45292</v>
      </c>
      <c r="C361" s="245">
        <v>45292</v>
      </c>
      <c r="D361" s="269">
        <v>1093</v>
      </c>
      <c r="E361" s="251" t="s">
        <v>796</v>
      </c>
      <c r="F361" s="242" t="s">
        <v>467</v>
      </c>
      <c r="G361" s="242" t="s">
        <v>468</v>
      </c>
      <c r="H361" s="242"/>
      <c r="I361" s="242">
        <v>0</v>
      </c>
      <c r="J361" s="262">
        <v>17</v>
      </c>
      <c r="K361" s="311">
        <v>1463.2</v>
      </c>
      <c r="L361" s="263">
        <f t="shared" si="5"/>
        <v>24874.400000000001</v>
      </c>
    </row>
    <row r="362" spans="1:12" ht="15.75" x14ac:dyDescent="0.25">
      <c r="A362" s="7"/>
      <c r="B362" s="245">
        <v>45292</v>
      </c>
      <c r="C362" s="245">
        <v>45292</v>
      </c>
      <c r="D362" s="269">
        <v>1364</v>
      </c>
      <c r="E362" s="251" t="s">
        <v>819</v>
      </c>
      <c r="F362" s="242" t="s">
        <v>467</v>
      </c>
      <c r="G362" s="242" t="s">
        <v>468</v>
      </c>
      <c r="H362" s="242"/>
      <c r="I362" s="242">
        <v>0</v>
      </c>
      <c r="J362" s="262">
        <v>40</v>
      </c>
      <c r="K362" s="311">
        <v>112.74</v>
      </c>
      <c r="L362" s="263">
        <f t="shared" si="5"/>
        <v>4509.5999999999995</v>
      </c>
    </row>
    <row r="363" spans="1:12" ht="15.75" x14ac:dyDescent="0.25">
      <c r="A363" s="7"/>
      <c r="B363" s="245">
        <v>45292</v>
      </c>
      <c r="C363" s="245">
        <v>45292</v>
      </c>
      <c r="D363" s="269">
        <v>13828</v>
      </c>
      <c r="E363" s="251" t="s">
        <v>797</v>
      </c>
      <c r="F363" s="242" t="s">
        <v>467</v>
      </c>
      <c r="G363" s="242" t="s">
        <v>468</v>
      </c>
      <c r="H363" s="242"/>
      <c r="I363" s="242">
        <v>176</v>
      </c>
      <c r="J363" s="262">
        <v>2175</v>
      </c>
      <c r="K363" s="312">
        <v>5953.1</v>
      </c>
      <c r="L363" s="263">
        <f t="shared" si="5"/>
        <v>12947992.5</v>
      </c>
    </row>
    <row r="364" spans="1:12" ht="15.75" x14ac:dyDescent="0.25">
      <c r="A364" s="7"/>
      <c r="B364" s="245">
        <v>45292</v>
      </c>
      <c r="C364" s="245">
        <v>45292</v>
      </c>
      <c r="D364" s="269">
        <v>1507</v>
      </c>
      <c r="E364" s="251" t="s">
        <v>798</v>
      </c>
      <c r="F364" s="242" t="s">
        <v>467</v>
      </c>
      <c r="G364" s="242" t="s">
        <v>468</v>
      </c>
      <c r="H364" s="242"/>
      <c r="I364" s="242">
        <v>36</v>
      </c>
      <c r="J364" s="262">
        <v>547</v>
      </c>
      <c r="K364" s="312">
        <v>6995.04</v>
      </c>
      <c r="L364" s="263">
        <f t="shared" si="5"/>
        <v>3826286.88</v>
      </c>
    </row>
    <row r="365" spans="1:12" ht="15.75" x14ac:dyDescent="0.25">
      <c r="A365" s="7"/>
      <c r="B365" s="245">
        <v>45292</v>
      </c>
      <c r="C365" s="245">
        <v>45292</v>
      </c>
      <c r="D365" s="269">
        <v>6827</v>
      </c>
      <c r="E365" s="251" t="s">
        <v>799</v>
      </c>
      <c r="F365" s="242" t="s">
        <v>467</v>
      </c>
      <c r="G365" s="242" t="s">
        <v>468</v>
      </c>
      <c r="H365" s="242"/>
      <c r="I365" s="242">
        <v>0</v>
      </c>
      <c r="J365" s="262">
        <v>135</v>
      </c>
      <c r="K365" s="312">
        <v>3480</v>
      </c>
      <c r="L365" s="263">
        <f t="shared" si="5"/>
        <v>469800</v>
      </c>
    </row>
    <row r="366" spans="1:12" ht="15.75" x14ac:dyDescent="0.25">
      <c r="A366" s="7"/>
      <c r="B366" s="245">
        <v>45292</v>
      </c>
      <c r="C366" s="245">
        <v>45292</v>
      </c>
      <c r="D366" s="269">
        <v>20367</v>
      </c>
      <c r="E366" s="251" t="s">
        <v>800</v>
      </c>
      <c r="F366" s="242" t="s">
        <v>467</v>
      </c>
      <c r="G366" s="242" t="s">
        <v>468</v>
      </c>
      <c r="H366" s="242"/>
      <c r="I366" s="242">
        <v>0</v>
      </c>
      <c r="J366" s="262">
        <v>309</v>
      </c>
      <c r="K366" s="311">
        <v>5900</v>
      </c>
      <c r="L366" s="263">
        <f t="shared" si="5"/>
        <v>1823100</v>
      </c>
    </row>
    <row r="367" spans="1:12" ht="15.75" x14ac:dyDescent="0.25">
      <c r="A367" s="7"/>
      <c r="B367" s="245">
        <v>45292</v>
      </c>
      <c r="C367" s="245">
        <v>45292</v>
      </c>
      <c r="D367" s="269">
        <v>15008</v>
      </c>
      <c r="E367" s="251" t="s">
        <v>785</v>
      </c>
      <c r="F367" s="242" t="s">
        <v>469</v>
      </c>
      <c r="G367" s="242" t="s">
        <v>483</v>
      </c>
      <c r="H367" s="242"/>
      <c r="I367" s="242">
        <v>25</v>
      </c>
      <c r="J367" s="262">
        <v>41</v>
      </c>
      <c r="K367" s="272">
        <v>7021</v>
      </c>
      <c r="L367" s="263">
        <f t="shared" si="5"/>
        <v>287861</v>
      </c>
    </row>
    <row r="368" spans="1:12" ht="15.75" x14ac:dyDescent="0.25">
      <c r="A368" s="7"/>
      <c r="B368" s="245">
        <v>45292</v>
      </c>
      <c r="C368" s="245">
        <v>45292</v>
      </c>
      <c r="D368" s="269">
        <v>1132</v>
      </c>
      <c r="E368" s="251" t="s">
        <v>836</v>
      </c>
      <c r="F368" s="242" t="s">
        <v>470</v>
      </c>
      <c r="G368" s="242" t="s">
        <v>480</v>
      </c>
      <c r="H368" s="242"/>
      <c r="I368" s="242">
        <v>170</v>
      </c>
      <c r="J368" s="262">
        <v>331</v>
      </c>
      <c r="K368" s="311">
        <v>1800</v>
      </c>
      <c r="L368" s="263">
        <f t="shared" si="5"/>
        <v>595800</v>
      </c>
    </row>
    <row r="369" spans="1:12" ht="15.75" x14ac:dyDescent="0.25">
      <c r="A369" s="7"/>
      <c r="B369" s="245">
        <v>45292</v>
      </c>
      <c r="C369" s="245">
        <v>45292</v>
      </c>
      <c r="D369" s="269">
        <v>1134</v>
      </c>
      <c r="E369" s="251" t="s">
        <v>837</v>
      </c>
      <c r="F369" s="242" t="s">
        <v>470</v>
      </c>
      <c r="G369" s="242" t="s">
        <v>474</v>
      </c>
      <c r="H369" s="242"/>
      <c r="I369" s="242">
        <v>100</v>
      </c>
      <c r="J369" s="262">
        <v>100</v>
      </c>
      <c r="K369" s="312">
        <v>15.82</v>
      </c>
      <c r="L369" s="263">
        <f t="shared" si="5"/>
        <v>1582</v>
      </c>
    </row>
    <row r="370" spans="1:12" ht="15.75" x14ac:dyDescent="0.25">
      <c r="A370" s="7"/>
      <c r="B370" s="245">
        <v>45292</v>
      </c>
      <c r="C370" s="245">
        <v>45292</v>
      </c>
      <c r="D370" s="269">
        <v>1098</v>
      </c>
      <c r="E370" s="251" t="s">
        <v>801</v>
      </c>
      <c r="F370" s="242" t="s">
        <v>467</v>
      </c>
      <c r="G370" s="242" t="s">
        <v>468</v>
      </c>
      <c r="H370" s="242"/>
      <c r="I370" s="242">
        <v>40</v>
      </c>
      <c r="J370" s="262">
        <v>140</v>
      </c>
      <c r="K370" s="311">
        <v>7.61</v>
      </c>
      <c r="L370" s="263">
        <f t="shared" si="5"/>
        <v>1065.4000000000001</v>
      </c>
    </row>
    <row r="371" spans="1:12" ht="15.75" x14ac:dyDescent="0.25">
      <c r="A371" s="7"/>
      <c r="B371" s="245">
        <v>45292</v>
      </c>
      <c r="C371" s="245">
        <v>45292</v>
      </c>
      <c r="D371" s="269">
        <v>5539</v>
      </c>
      <c r="E371" s="251" t="s">
        <v>802</v>
      </c>
      <c r="F371" s="242" t="s">
        <v>467</v>
      </c>
      <c r="G371" s="242" t="s">
        <v>468</v>
      </c>
      <c r="H371" s="242"/>
      <c r="I371" s="242">
        <v>15</v>
      </c>
      <c r="J371" s="262">
        <v>25</v>
      </c>
      <c r="K371" s="311">
        <v>6.99</v>
      </c>
      <c r="L371" s="263">
        <f t="shared" si="5"/>
        <v>174.75</v>
      </c>
    </row>
    <row r="372" spans="1:12" ht="15.75" x14ac:dyDescent="0.25">
      <c r="A372" s="7"/>
      <c r="B372" s="245">
        <v>45292</v>
      </c>
      <c r="C372" s="245">
        <v>45292</v>
      </c>
      <c r="D372" s="269">
        <v>1099</v>
      </c>
      <c r="E372" s="251" t="s">
        <v>803</v>
      </c>
      <c r="F372" s="242" t="s">
        <v>467</v>
      </c>
      <c r="G372" s="242" t="s">
        <v>468</v>
      </c>
      <c r="H372" s="242"/>
      <c r="I372" s="242">
        <v>0</v>
      </c>
      <c r="J372" s="262">
        <v>30</v>
      </c>
      <c r="K372" s="311">
        <v>11.69</v>
      </c>
      <c r="L372" s="263">
        <f t="shared" si="5"/>
        <v>350.7</v>
      </c>
    </row>
    <row r="373" spans="1:12" ht="15.75" x14ac:dyDescent="0.25">
      <c r="A373" s="7"/>
      <c r="B373" s="245">
        <v>45292</v>
      </c>
      <c r="C373" s="245">
        <v>45292</v>
      </c>
      <c r="D373" s="269">
        <v>1101</v>
      </c>
      <c r="E373" s="251" t="s">
        <v>804</v>
      </c>
      <c r="F373" s="242" t="s">
        <v>467</v>
      </c>
      <c r="G373" s="242" t="s">
        <v>468</v>
      </c>
      <c r="H373" s="242"/>
      <c r="I373" s="242">
        <v>5</v>
      </c>
      <c r="J373" s="262">
        <v>195</v>
      </c>
      <c r="K373" s="311">
        <v>16.37</v>
      </c>
      <c r="L373" s="263">
        <f t="shared" si="5"/>
        <v>3192.15</v>
      </c>
    </row>
    <row r="374" spans="1:12" ht="15.75" x14ac:dyDescent="0.25">
      <c r="A374" s="7"/>
      <c r="B374" s="245">
        <v>45292</v>
      </c>
      <c r="C374" s="245">
        <v>45292</v>
      </c>
      <c r="D374" s="269">
        <v>15046</v>
      </c>
      <c r="E374" s="251" t="s">
        <v>1982</v>
      </c>
      <c r="F374" s="242" t="s">
        <v>467</v>
      </c>
      <c r="G374" s="242" t="s">
        <v>468</v>
      </c>
      <c r="H374" s="242"/>
      <c r="I374" s="242">
        <v>80</v>
      </c>
      <c r="J374" s="262">
        <v>60</v>
      </c>
      <c r="K374" s="272">
        <v>2470.48</v>
      </c>
      <c r="L374" s="263">
        <f t="shared" si="5"/>
        <v>148228.79999999999</v>
      </c>
    </row>
    <row r="375" spans="1:12" ht="15.75" x14ac:dyDescent="0.25">
      <c r="A375" s="7"/>
      <c r="B375" s="245">
        <v>45292</v>
      </c>
      <c r="C375" s="245">
        <v>45292</v>
      </c>
      <c r="D375" s="269">
        <v>5298</v>
      </c>
      <c r="E375" s="251" t="s">
        <v>813</v>
      </c>
      <c r="F375" s="242" t="s">
        <v>467</v>
      </c>
      <c r="G375" s="242" t="s">
        <v>468</v>
      </c>
      <c r="H375" s="242"/>
      <c r="I375" s="242">
        <v>0</v>
      </c>
      <c r="J375" s="262">
        <v>50</v>
      </c>
      <c r="K375" s="311">
        <v>1059.29</v>
      </c>
      <c r="L375" s="263">
        <f t="shared" si="5"/>
        <v>52964.5</v>
      </c>
    </row>
    <row r="376" spans="1:12" ht="15.75" x14ac:dyDescent="0.25">
      <c r="A376" s="7"/>
      <c r="B376" s="245">
        <v>45292</v>
      </c>
      <c r="C376" s="245">
        <v>45292</v>
      </c>
      <c r="D376" s="269">
        <v>3556</v>
      </c>
      <c r="E376" s="251" t="s">
        <v>814</v>
      </c>
      <c r="F376" s="242" t="s">
        <v>467</v>
      </c>
      <c r="G376" s="242" t="s">
        <v>468</v>
      </c>
      <c r="H376" s="242"/>
      <c r="I376" s="242">
        <v>20</v>
      </c>
      <c r="J376" s="262">
        <v>30</v>
      </c>
      <c r="K376" s="314">
        <v>228.35000000000002</v>
      </c>
      <c r="L376" s="263">
        <f t="shared" si="5"/>
        <v>6850.5000000000009</v>
      </c>
    </row>
    <row r="377" spans="1:12" ht="15.75" x14ac:dyDescent="0.25">
      <c r="A377" s="7"/>
      <c r="B377" s="245">
        <v>45292</v>
      </c>
      <c r="C377" s="245">
        <v>45292</v>
      </c>
      <c r="D377" s="269">
        <v>4924</v>
      </c>
      <c r="E377" s="251" t="s">
        <v>1983</v>
      </c>
      <c r="F377" s="242" t="s">
        <v>467</v>
      </c>
      <c r="G377" s="242" t="s">
        <v>468</v>
      </c>
      <c r="H377" s="242"/>
      <c r="I377" s="242">
        <v>0</v>
      </c>
      <c r="J377" s="262">
        <v>100</v>
      </c>
      <c r="K377" s="314">
        <v>5.58</v>
      </c>
      <c r="L377" s="263">
        <f t="shared" si="5"/>
        <v>558</v>
      </c>
    </row>
    <row r="378" spans="1:12" ht="15.75" x14ac:dyDescent="0.25">
      <c r="A378" s="7"/>
      <c r="B378" s="245">
        <v>45292</v>
      </c>
      <c r="C378" s="245">
        <v>45292</v>
      </c>
      <c r="D378" s="269">
        <v>1466</v>
      </c>
      <c r="E378" s="251" t="s">
        <v>815</v>
      </c>
      <c r="F378" s="242" t="s">
        <v>467</v>
      </c>
      <c r="G378" s="242" t="s">
        <v>468</v>
      </c>
      <c r="H378" s="242"/>
      <c r="I378" s="242">
        <v>0</v>
      </c>
      <c r="J378" s="262">
        <v>300</v>
      </c>
      <c r="K378" s="311">
        <v>5.58</v>
      </c>
      <c r="L378" s="263">
        <f t="shared" si="5"/>
        <v>1674</v>
      </c>
    </row>
    <row r="379" spans="1:12" ht="15.75" x14ac:dyDescent="0.25">
      <c r="A379" s="7"/>
      <c r="B379" s="245">
        <v>45292</v>
      </c>
      <c r="C379" s="245">
        <v>45292</v>
      </c>
      <c r="D379" s="269">
        <v>1413</v>
      </c>
      <c r="E379" s="251" t="s">
        <v>816</v>
      </c>
      <c r="F379" s="242" t="s">
        <v>467</v>
      </c>
      <c r="G379" s="242" t="s">
        <v>468</v>
      </c>
      <c r="H379" s="242"/>
      <c r="I379" s="242">
        <v>0</v>
      </c>
      <c r="J379" s="262">
        <v>15</v>
      </c>
      <c r="K379" s="311">
        <v>1298</v>
      </c>
      <c r="L379" s="263">
        <f t="shared" si="5"/>
        <v>19470</v>
      </c>
    </row>
    <row r="380" spans="1:12" ht="15.75" x14ac:dyDescent="0.25">
      <c r="A380" s="7"/>
      <c r="B380" s="245">
        <v>45292</v>
      </c>
      <c r="C380" s="245">
        <v>45292</v>
      </c>
      <c r="D380" s="269">
        <v>12537</v>
      </c>
      <c r="E380" s="251" t="s">
        <v>818</v>
      </c>
      <c r="F380" s="242" t="s">
        <v>467</v>
      </c>
      <c r="G380" s="242" t="s">
        <v>468</v>
      </c>
      <c r="H380" s="242"/>
      <c r="I380" s="242">
        <v>0</v>
      </c>
      <c r="J380" s="262">
        <v>24</v>
      </c>
      <c r="K380" s="311">
        <v>2585</v>
      </c>
      <c r="L380" s="263">
        <f t="shared" si="5"/>
        <v>62040</v>
      </c>
    </row>
    <row r="381" spans="1:12" ht="15.75" x14ac:dyDescent="0.25">
      <c r="A381" s="7"/>
      <c r="B381" s="245">
        <v>45292</v>
      </c>
      <c r="C381" s="245">
        <v>45292</v>
      </c>
      <c r="D381" s="269">
        <v>1121</v>
      </c>
      <c r="E381" s="251" t="s">
        <v>820</v>
      </c>
      <c r="F381" s="242" t="s">
        <v>467</v>
      </c>
      <c r="G381" s="242" t="s">
        <v>468</v>
      </c>
      <c r="H381" s="242"/>
      <c r="I381" s="242">
        <v>0</v>
      </c>
      <c r="J381" s="262">
        <v>79</v>
      </c>
      <c r="K381" s="311">
        <v>220</v>
      </c>
      <c r="L381" s="263">
        <f t="shared" si="5"/>
        <v>17380</v>
      </c>
    </row>
    <row r="382" spans="1:12" ht="15.75" x14ac:dyDescent="0.25">
      <c r="A382" s="7"/>
      <c r="B382" s="245">
        <v>45292</v>
      </c>
      <c r="C382" s="245">
        <v>45292</v>
      </c>
      <c r="D382" s="269">
        <v>9147</v>
      </c>
      <c r="E382" s="251" t="s">
        <v>821</v>
      </c>
      <c r="F382" s="242" t="s">
        <v>467</v>
      </c>
      <c r="G382" s="242" t="s">
        <v>468</v>
      </c>
      <c r="H382" s="242"/>
      <c r="I382" s="242">
        <v>0</v>
      </c>
      <c r="J382" s="262">
        <v>1050</v>
      </c>
      <c r="K382" s="311">
        <v>5</v>
      </c>
      <c r="L382" s="263">
        <f t="shared" si="5"/>
        <v>5250</v>
      </c>
    </row>
    <row r="383" spans="1:12" ht="15.75" x14ac:dyDescent="0.25">
      <c r="A383" s="7"/>
      <c r="B383" s="245">
        <v>45292</v>
      </c>
      <c r="C383" s="245">
        <v>45292</v>
      </c>
      <c r="D383" s="269">
        <v>19266</v>
      </c>
      <c r="E383" s="251" t="s">
        <v>822</v>
      </c>
      <c r="F383" s="242" t="s">
        <v>467</v>
      </c>
      <c r="G383" s="242" t="s">
        <v>508</v>
      </c>
      <c r="H383" s="242"/>
      <c r="I383" s="242">
        <v>0</v>
      </c>
      <c r="J383" s="262">
        <v>5</v>
      </c>
      <c r="K383" s="311">
        <v>4401.3599999999997</v>
      </c>
      <c r="L383" s="263">
        <f t="shared" si="5"/>
        <v>22006.799999999999</v>
      </c>
    </row>
    <row r="384" spans="1:12" ht="15.75" x14ac:dyDescent="0.25">
      <c r="A384" s="7"/>
      <c r="B384" s="245">
        <v>45292</v>
      </c>
      <c r="C384" s="245">
        <v>45292</v>
      </c>
      <c r="D384" s="269">
        <v>1136</v>
      </c>
      <c r="E384" s="251" t="s">
        <v>2383</v>
      </c>
      <c r="F384" s="242" t="s">
        <v>470</v>
      </c>
      <c r="G384" s="242" t="s">
        <v>474</v>
      </c>
      <c r="H384" s="242"/>
      <c r="I384" s="242">
        <v>5</v>
      </c>
      <c r="J384" s="262">
        <v>24</v>
      </c>
      <c r="K384" s="311">
        <v>7100</v>
      </c>
      <c r="L384" s="263">
        <f t="shared" si="5"/>
        <v>170400</v>
      </c>
    </row>
    <row r="385" spans="1:12" ht="15.75" x14ac:dyDescent="0.25">
      <c r="A385" s="7"/>
      <c r="B385" s="245">
        <v>45292</v>
      </c>
      <c r="C385" s="245">
        <v>45292</v>
      </c>
      <c r="D385" s="269">
        <v>1122</v>
      </c>
      <c r="E385" s="251" t="s">
        <v>823</v>
      </c>
      <c r="F385" s="242" t="s">
        <v>467</v>
      </c>
      <c r="G385" s="242" t="s">
        <v>468</v>
      </c>
      <c r="H385" s="242"/>
      <c r="I385" s="242">
        <v>0</v>
      </c>
      <c r="J385" s="262">
        <v>512</v>
      </c>
      <c r="K385" s="312">
        <v>75</v>
      </c>
      <c r="L385" s="263">
        <f t="shared" si="5"/>
        <v>38400</v>
      </c>
    </row>
    <row r="386" spans="1:12" ht="15.75" x14ac:dyDescent="0.25">
      <c r="A386" s="7"/>
      <c r="B386" s="245">
        <v>45292</v>
      </c>
      <c r="C386" s="245">
        <v>45292</v>
      </c>
      <c r="D386" s="269">
        <v>6841</v>
      </c>
      <c r="E386" s="251" t="s">
        <v>825</v>
      </c>
      <c r="F386" s="242" t="s">
        <v>467</v>
      </c>
      <c r="G386" s="242" t="s">
        <v>468</v>
      </c>
      <c r="H386" s="242">
        <v>600</v>
      </c>
      <c r="I386" s="242">
        <v>3750</v>
      </c>
      <c r="J386" s="262">
        <v>1850</v>
      </c>
      <c r="K386" s="311">
        <v>5</v>
      </c>
      <c r="L386" s="263">
        <f t="shared" si="5"/>
        <v>9250</v>
      </c>
    </row>
    <row r="387" spans="1:12" ht="15.75" x14ac:dyDescent="0.25">
      <c r="A387" s="7"/>
      <c r="B387" s="245">
        <v>45292</v>
      </c>
      <c r="C387" s="245">
        <v>45292</v>
      </c>
      <c r="D387" s="269">
        <v>20001</v>
      </c>
      <c r="E387" s="251" t="s">
        <v>826</v>
      </c>
      <c r="F387" s="242" t="s">
        <v>467</v>
      </c>
      <c r="G387" s="242" t="s">
        <v>468</v>
      </c>
      <c r="H387" s="242"/>
      <c r="I387" s="242">
        <v>50</v>
      </c>
      <c r="J387" s="262">
        <v>350</v>
      </c>
      <c r="K387" s="313">
        <v>25</v>
      </c>
      <c r="L387" s="263">
        <f t="shared" si="5"/>
        <v>8750</v>
      </c>
    </row>
    <row r="388" spans="1:12" ht="15.75" x14ac:dyDescent="0.25">
      <c r="A388" s="7"/>
      <c r="B388" s="245">
        <v>45292</v>
      </c>
      <c r="C388" s="245">
        <v>45292</v>
      </c>
      <c r="D388" s="269">
        <v>1126</v>
      </c>
      <c r="E388" s="251" t="s">
        <v>827</v>
      </c>
      <c r="F388" s="242" t="s">
        <v>467</v>
      </c>
      <c r="G388" s="242" t="s">
        <v>468</v>
      </c>
      <c r="H388" s="242"/>
      <c r="I388" s="242">
        <v>20</v>
      </c>
      <c r="J388" s="262">
        <v>21</v>
      </c>
      <c r="K388" s="312">
        <v>60.5</v>
      </c>
      <c r="L388" s="263">
        <f t="shared" si="5"/>
        <v>1270.5</v>
      </c>
    </row>
    <row r="389" spans="1:12" ht="15.75" x14ac:dyDescent="0.25">
      <c r="A389" s="7"/>
      <c r="B389" s="245">
        <v>45292</v>
      </c>
      <c r="C389" s="245">
        <v>45292</v>
      </c>
      <c r="D389" s="269">
        <v>17010</v>
      </c>
      <c r="E389" s="251" t="s">
        <v>828</v>
      </c>
      <c r="F389" s="242" t="s">
        <v>467</v>
      </c>
      <c r="G389" s="242" t="s">
        <v>468</v>
      </c>
      <c r="H389" s="242"/>
      <c r="I389" s="242">
        <v>0</v>
      </c>
      <c r="J389" s="262">
        <v>10</v>
      </c>
      <c r="K389" s="313">
        <v>4720</v>
      </c>
      <c r="L389" s="263">
        <f t="shared" si="5"/>
        <v>47200</v>
      </c>
    </row>
    <row r="390" spans="1:12" ht="15.75" x14ac:dyDescent="0.25">
      <c r="A390" s="7"/>
      <c r="B390" s="245">
        <v>45292</v>
      </c>
      <c r="C390" s="245">
        <v>45292</v>
      </c>
      <c r="D390" s="269">
        <v>1139</v>
      </c>
      <c r="E390" s="251" t="s">
        <v>2524</v>
      </c>
      <c r="F390" s="242" t="s">
        <v>470</v>
      </c>
      <c r="G390" s="242" t="s">
        <v>474</v>
      </c>
      <c r="H390" s="242">
        <f>500+500</f>
        <v>1000</v>
      </c>
      <c r="I390" s="242">
        <v>200</v>
      </c>
      <c r="J390" s="262">
        <v>800</v>
      </c>
      <c r="K390" s="311">
        <v>7.25</v>
      </c>
      <c r="L390" s="263">
        <f t="shared" si="5"/>
        <v>5800</v>
      </c>
    </row>
    <row r="391" spans="1:12" ht="15.75" x14ac:dyDescent="0.25">
      <c r="A391" s="7"/>
      <c r="B391" s="245">
        <v>45292</v>
      </c>
      <c r="C391" s="245">
        <v>45292</v>
      </c>
      <c r="D391" s="269">
        <v>1140</v>
      </c>
      <c r="E391" s="251" t="s">
        <v>838</v>
      </c>
      <c r="F391" s="242" t="s">
        <v>470</v>
      </c>
      <c r="G391" s="242" t="s">
        <v>478</v>
      </c>
      <c r="H391" s="242"/>
      <c r="I391" s="242">
        <v>0</v>
      </c>
      <c r="J391" s="262">
        <v>200</v>
      </c>
      <c r="K391" s="312">
        <v>13.85</v>
      </c>
      <c r="L391" s="263">
        <f t="shared" si="5"/>
        <v>2770</v>
      </c>
    </row>
    <row r="392" spans="1:12" ht="15.75" x14ac:dyDescent="0.25">
      <c r="A392" s="7"/>
      <c r="B392" s="245">
        <v>45292</v>
      </c>
      <c r="C392" s="245">
        <v>45292</v>
      </c>
      <c r="D392" s="269">
        <v>11448</v>
      </c>
      <c r="E392" s="251" t="s">
        <v>829</v>
      </c>
      <c r="F392" s="242" t="s">
        <v>467</v>
      </c>
      <c r="G392" s="242" t="s">
        <v>468</v>
      </c>
      <c r="H392" s="242"/>
      <c r="I392" s="242">
        <v>0</v>
      </c>
      <c r="J392" s="262">
        <v>2</v>
      </c>
      <c r="K392" s="311">
        <v>28355.4</v>
      </c>
      <c r="L392" s="263">
        <f t="shared" si="5"/>
        <v>56710.8</v>
      </c>
    </row>
    <row r="393" spans="1:12" ht="15.75" x14ac:dyDescent="0.25">
      <c r="A393" s="7"/>
      <c r="B393" s="245">
        <v>45292</v>
      </c>
      <c r="C393" s="245">
        <v>45292</v>
      </c>
      <c r="D393" s="269">
        <v>5684</v>
      </c>
      <c r="E393" s="251" t="s">
        <v>842</v>
      </c>
      <c r="F393" s="242" t="s">
        <v>470</v>
      </c>
      <c r="G393" s="242" t="s">
        <v>474</v>
      </c>
      <c r="H393" s="242"/>
      <c r="I393" s="242">
        <v>0</v>
      </c>
      <c r="J393" s="262">
        <v>8</v>
      </c>
      <c r="K393" s="312">
        <v>4533</v>
      </c>
      <c r="L393" s="263">
        <f t="shared" si="5"/>
        <v>36264</v>
      </c>
    </row>
    <row r="394" spans="1:12" ht="15.75" x14ac:dyDescent="0.25">
      <c r="A394" s="7"/>
      <c r="B394" s="245">
        <v>45292</v>
      </c>
      <c r="C394" s="245">
        <v>45292</v>
      </c>
      <c r="D394" s="269">
        <v>939</v>
      </c>
      <c r="E394" s="251" t="s">
        <v>843</v>
      </c>
      <c r="F394" s="242" t="s">
        <v>470</v>
      </c>
      <c r="G394" s="242" t="s">
        <v>468</v>
      </c>
      <c r="H394" s="242"/>
      <c r="I394" s="242">
        <v>0</v>
      </c>
      <c r="J394" s="262">
        <v>90</v>
      </c>
      <c r="K394" s="311">
        <v>26.02</v>
      </c>
      <c r="L394" s="263">
        <f t="shared" si="5"/>
        <v>2341.8000000000002</v>
      </c>
    </row>
    <row r="395" spans="1:12" ht="15.75" x14ac:dyDescent="0.25">
      <c r="A395" s="7"/>
      <c r="B395" s="245">
        <v>45292</v>
      </c>
      <c r="C395" s="245">
        <v>45292</v>
      </c>
      <c r="D395" s="269">
        <v>1158</v>
      </c>
      <c r="E395" s="251" t="s">
        <v>846</v>
      </c>
      <c r="F395" s="242" t="s">
        <v>470</v>
      </c>
      <c r="G395" s="242" t="s">
        <v>474</v>
      </c>
      <c r="H395" s="242"/>
      <c r="I395" s="242">
        <v>200</v>
      </c>
      <c r="J395" s="262">
        <v>1600</v>
      </c>
      <c r="K395" s="312">
        <v>33</v>
      </c>
      <c r="L395" s="263">
        <f t="shared" si="5"/>
        <v>52800</v>
      </c>
    </row>
    <row r="396" spans="1:12" ht="15.75" x14ac:dyDescent="0.25">
      <c r="A396" s="7"/>
      <c r="B396" s="245">
        <v>45292</v>
      </c>
      <c r="C396" s="245">
        <v>45292</v>
      </c>
      <c r="D396" s="269">
        <v>1160</v>
      </c>
      <c r="E396" s="251" t="s">
        <v>848</v>
      </c>
      <c r="F396" s="242" t="s">
        <v>470</v>
      </c>
      <c r="G396" s="242" t="s">
        <v>478</v>
      </c>
      <c r="H396" s="242"/>
      <c r="I396" s="242">
        <v>450</v>
      </c>
      <c r="J396" s="262">
        <v>940</v>
      </c>
      <c r="K396" s="311">
        <v>18</v>
      </c>
      <c r="L396" s="263">
        <f t="shared" si="5"/>
        <v>16920</v>
      </c>
    </row>
    <row r="397" spans="1:12" ht="15.75" x14ac:dyDescent="0.25">
      <c r="A397" s="7"/>
      <c r="B397" s="245">
        <v>45292</v>
      </c>
      <c r="C397" s="245">
        <v>45292</v>
      </c>
      <c r="D397" s="269">
        <v>1163</v>
      </c>
      <c r="E397" s="251" t="s">
        <v>849</v>
      </c>
      <c r="F397" s="242" t="s">
        <v>470</v>
      </c>
      <c r="G397" s="242" t="s">
        <v>478</v>
      </c>
      <c r="H397" s="242"/>
      <c r="I397" s="242">
        <v>510</v>
      </c>
      <c r="J397" s="262">
        <v>270</v>
      </c>
      <c r="K397" s="311">
        <v>45.66</v>
      </c>
      <c r="L397" s="263">
        <f t="shared" si="5"/>
        <v>12328.199999999999</v>
      </c>
    </row>
    <row r="398" spans="1:12" ht="15.75" x14ac:dyDescent="0.25">
      <c r="A398" s="7"/>
      <c r="B398" s="245">
        <v>45292</v>
      </c>
      <c r="C398" s="245">
        <v>45292</v>
      </c>
      <c r="D398" s="269">
        <v>6116</v>
      </c>
      <c r="E398" s="251" t="s">
        <v>850</v>
      </c>
      <c r="F398" s="242" t="s">
        <v>470</v>
      </c>
      <c r="G398" s="242" t="s">
        <v>474</v>
      </c>
      <c r="H398" s="242"/>
      <c r="I398" s="242">
        <v>0</v>
      </c>
      <c r="J398" s="262">
        <v>80</v>
      </c>
      <c r="K398" s="312">
        <v>500</v>
      </c>
      <c r="L398" s="263">
        <f t="shared" ref="L398:L461" si="6">+K398*J398</f>
        <v>40000</v>
      </c>
    </row>
    <row r="399" spans="1:12" ht="15.75" x14ac:dyDescent="0.25">
      <c r="A399" s="7"/>
      <c r="B399" s="245">
        <v>45292</v>
      </c>
      <c r="C399" s="245">
        <v>45292</v>
      </c>
      <c r="D399" s="269">
        <v>1170</v>
      </c>
      <c r="E399" s="251" t="s">
        <v>851</v>
      </c>
      <c r="F399" s="242" t="s">
        <v>470</v>
      </c>
      <c r="G399" s="242" t="s">
        <v>474</v>
      </c>
      <c r="H399" s="242">
        <v>200</v>
      </c>
      <c r="I399" s="242">
        <v>450</v>
      </c>
      <c r="J399" s="262">
        <v>100</v>
      </c>
      <c r="K399" s="314">
        <v>400</v>
      </c>
      <c r="L399" s="263">
        <f t="shared" si="6"/>
        <v>40000</v>
      </c>
    </row>
    <row r="400" spans="1:12" ht="15.75" x14ac:dyDescent="0.25">
      <c r="A400" s="7"/>
      <c r="B400" s="245">
        <v>45292</v>
      </c>
      <c r="C400" s="245">
        <v>45292</v>
      </c>
      <c r="D400" s="269">
        <v>11449</v>
      </c>
      <c r="E400" s="251" t="s">
        <v>830</v>
      </c>
      <c r="F400" s="242" t="s">
        <v>467</v>
      </c>
      <c r="G400" s="242" t="s">
        <v>468</v>
      </c>
      <c r="H400" s="242"/>
      <c r="I400" s="242">
        <v>0</v>
      </c>
      <c r="J400" s="262">
        <v>1</v>
      </c>
      <c r="K400" s="312">
        <v>24030</v>
      </c>
      <c r="L400" s="263">
        <f t="shared" si="6"/>
        <v>24030</v>
      </c>
    </row>
    <row r="401" spans="1:12" ht="15.75" x14ac:dyDescent="0.25">
      <c r="A401" s="7"/>
      <c r="B401" s="245">
        <v>45292</v>
      </c>
      <c r="C401" s="245">
        <v>45292</v>
      </c>
      <c r="D401" s="269">
        <v>11450</v>
      </c>
      <c r="E401" s="251" t="s">
        <v>831</v>
      </c>
      <c r="F401" s="242" t="s">
        <v>467</v>
      </c>
      <c r="G401" s="242" t="s">
        <v>468</v>
      </c>
      <c r="H401" s="242"/>
      <c r="I401" s="242">
        <v>0</v>
      </c>
      <c r="J401" s="262">
        <v>2</v>
      </c>
      <c r="K401" s="312">
        <v>28355.4</v>
      </c>
      <c r="L401" s="263">
        <f t="shared" si="6"/>
        <v>56710.8</v>
      </c>
    </row>
    <row r="402" spans="1:12" ht="15.75" x14ac:dyDescent="0.25">
      <c r="A402" s="7"/>
      <c r="B402" s="245">
        <v>45292</v>
      </c>
      <c r="C402" s="245">
        <v>45292</v>
      </c>
      <c r="D402" s="269">
        <v>1128</v>
      </c>
      <c r="E402" s="251" t="s">
        <v>832</v>
      </c>
      <c r="F402" s="242" t="s">
        <v>467</v>
      </c>
      <c r="G402" s="242" t="s">
        <v>468</v>
      </c>
      <c r="H402" s="242"/>
      <c r="I402" s="242">
        <v>5</v>
      </c>
      <c r="J402" s="262">
        <v>119</v>
      </c>
      <c r="K402" s="311">
        <v>1390</v>
      </c>
      <c r="L402" s="263">
        <f t="shared" si="6"/>
        <v>165410</v>
      </c>
    </row>
    <row r="403" spans="1:12" ht="15.75" x14ac:dyDescent="0.25">
      <c r="A403" s="7"/>
      <c r="B403" s="245">
        <v>45292</v>
      </c>
      <c r="C403" s="245">
        <v>45292</v>
      </c>
      <c r="D403" s="269">
        <v>1130</v>
      </c>
      <c r="E403" s="251" t="s">
        <v>833</v>
      </c>
      <c r="F403" s="242" t="s">
        <v>467</v>
      </c>
      <c r="G403" s="242" t="s">
        <v>643</v>
      </c>
      <c r="H403" s="242"/>
      <c r="I403" s="242">
        <v>22</v>
      </c>
      <c r="J403" s="262">
        <v>6</v>
      </c>
      <c r="K403" s="311">
        <v>828.36</v>
      </c>
      <c r="L403" s="263">
        <f t="shared" si="6"/>
        <v>4970.16</v>
      </c>
    </row>
    <row r="404" spans="1:12" ht="15.75" x14ac:dyDescent="0.25">
      <c r="A404" s="7"/>
      <c r="B404" s="245">
        <v>45292</v>
      </c>
      <c r="C404" s="245">
        <v>45292</v>
      </c>
      <c r="D404" s="269">
        <v>1129</v>
      </c>
      <c r="E404" s="251" t="s">
        <v>834</v>
      </c>
      <c r="F404" s="242" t="s">
        <v>467</v>
      </c>
      <c r="G404" s="242" t="s">
        <v>468</v>
      </c>
      <c r="H404" s="242"/>
      <c r="I404" s="242">
        <v>48</v>
      </c>
      <c r="J404" s="262">
        <v>89</v>
      </c>
      <c r="K404" s="311">
        <v>1174.0999999999999</v>
      </c>
      <c r="L404" s="263">
        <f t="shared" si="6"/>
        <v>104494.9</v>
      </c>
    </row>
    <row r="405" spans="1:12" ht="15.75" x14ac:dyDescent="0.25">
      <c r="A405" s="7"/>
      <c r="B405" s="245">
        <v>45292</v>
      </c>
      <c r="C405" s="245">
        <v>45292</v>
      </c>
      <c r="D405" s="269">
        <v>5195</v>
      </c>
      <c r="E405" s="251" t="s">
        <v>840</v>
      </c>
      <c r="F405" s="242" t="s">
        <v>467</v>
      </c>
      <c r="G405" s="242" t="s">
        <v>468</v>
      </c>
      <c r="H405" s="242"/>
      <c r="I405" s="242">
        <v>190</v>
      </c>
      <c r="J405" s="262">
        <v>80</v>
      </c>
      <c r="K405" s="311">
        <v>21.94</v>
      </c>
      <c r="L405" s="263">
        <f t="shared" si="6"/>
        <v>1755.2</v>
      </c>
    </row>
    <row r="406" spans="1:12" ht="15.75" x14ac:dyDescent="0.25">
      <c r="A406" s="7"/>
      <c r="B406" s="245">
        <v>45292</v>
      </c>
      <c r="C406" s="245">
        <v>45292</v>
      </c>
      <c r="D406" s="269">
        <v>15394</v>
      </c>
      <c r="E406" s="251" t="s">
        <v>847</v>
      </c>
      <c r="F406" s="242" t="s">
        <v>467</v>
      </c>
      <c r="G406" s="242" t="s">
        <v>468</v>
      </c>
      <c r="H406" s="242"/>
      <c r="I406" s="242">
        <v>0</v>
      </c>
      <c r="J406" s="262">
        <v>98</v>
      </c>
      <c r="K406" s="313">
        <v>7204.2067999999999</v>
      </c>
      <c r="L406" s="263">
        <f t="shared" si="6"/>
        <v>706012.26639999996</v>
      </c>
    </row>
    <row r="407" spans="1:12" ht="15.75" x14ac:dyDescent="0.25">
      <c r="A407" s="7"/>
      <c r="B407" s="245">
        <v>45292</v>
      </c>
      <c r="C407" s="245">
        <v>45292</v>
      </c>
      <c r="D407" s="269">
        <v>19182</v>
      </c>
      <c r="E407" s="251" t="s">
        <v>1984</v>
      </c>
      <c r="F407" s="242" t="s">
        <v>467</v>
      </c>
      <c r="G407" s="242" t="s">
        <v>468</v>
      </c>
      <c r="H407" s="242"/>
      <c r="I407" s="242">
        <v>0</v>
      </c>
      <c r="J407" s="262">
        <v>24</v>
      </c>
      <c r="K407" s="312">
        <v>2450</v>
      </c>
      <c r="L407" s="263">
        <f t="shared" si="6"/>
        <v>58800</v>
      </c>
    </row>
    <row r="408" spans="1:12" ht="15.75" x14ac:dyDescent="0.25">
      <c r="A408" s="7"/>
      <c r="B408" s="245">
        <v>45292</v>
      </c>
      <c r="C408" s="245">
        <v>45292</v>
      </c>
      <c r="D408" s="269">
        <v>19179</v>
      </c>
      <c r="E408" s="251" t="s">
        <v>853</v>
      </c>
      <c r="F408" s="242" t="s">
        <v>467</v>
      </c>
      <c r="G408" s="242" t="s">
        <v>468</v>
      </c>
      <c r="H408" s="242"/>
      <c r="I408" s="242">
        <v>0</v>
      </c>
      <c r="J408" s="262">
        <v>24</v>
      </c>
      <c r="K408" s="311">
        <v>2450</v>
      </c>
      <c r="L408" s="263">
        <f t="shared" si="6"/>
        <v>58800</v>
      </c>
    </row>
    <row r="409" spans="1:12" ht="15.75" x14ac:dyDescent="0.25">
      <c r="A409" s="7"/>
      <c r="B409" s="245">
        <v>45292</v>
      </c>
      <c r="C409" s="245">
        <v>45292</v>
      </c>
      <c r="D409" s="269">
        <v>1182</v>
      </c>
      <c r="E409" s="251" t="s">
        <v>854</v>
      </c>
      <c r="F409" s="242" t="s">
        <v>467</v>
      </c>
      <c r="G409" s="242" t="s">
        <v>468</v>
      </c>
      <c r="H409" s="242"/>
      <c r="I409" s="242">
        <v>0</v>
      </c>
      <c r="J409" s="262">
        <v>12</v>
      </c>
      <c r="K409" s="311">
        <v>72800</v>
      </c>
      <c r="L409" s="263">
        <f t="shared" si="6"/>
        <v>873600</v>
      </c>
    </row>
    <row r="410" spans="1:12" ht="15.75" x14ac:dyDescent="0.25">
      <c r="A410" s="7"/>
      <c r="B410" s="245">
        <v>45292</v>
      </c>
      <c r="C410" s="245">
        <v>45292</v>
      </c>
      <c r="D410" s="269">
        <v>19665</v>
      </c>
      <c r="E410" s="251" t="s">
        <v>855</v>
      </c>
      <c r="F410" s="242" t="s">
        <v>467</v>
      </c>
      <c r="G410" s="242" t="s">
        <v>468</v>
      </c>
      <c r="H410" s="242"/>
      <c r="I410" s="242">
        <v>0</v>
      </c>
      <c r="J410" s="262">
        <v>19</v>
      </c>
      <c r="K410" s="312">
        <v>1972</v>
      </c>
      <c r="L410" s="263">
        <f t="shared" si="6"/>
        <v>37468</v>
      </c>
    </row>
    <row r="411" spans="1:12" ht="15.75" x14ac:dyDescent="0.25">
      <c r="A411" s="7"/>
      <c r="B411" s="245">
        <v>45292</v>
      </c>
      <c r="C411" s="245">
        <v>45292</v>
      </c>
      <c r="D411" s="269">
        <v>19666</v>
      </c>
      <c r="E411" s="251" t="s">
        <v>856</v>
      </c>
      <c r="F411" s="242" t="s">
        <v>467</v>
      </c>
      <c r="G411" s="242" t="s">
        <v>468</v>
      </c>
      <c r="H411" s="242"/>
      <c r="I411" s="242">
        <v>0</v>
      </c>
      <c r="J411" s="262">
        <v>7</v>
      </c>
      <c r="K411" s="311">
        <v>2275</v>
      </c>
      <c r="L411" s="263">
        <f t="shared" si="6"/>
        <v>15925</v>
      </c>
    </row>
    <row r="412" spans="1:12" ht="15.75" x14ac:dyDescent="0.25">
      <c r="A412" s="7"/>
      <c r="B412" s="245">
        <v>45292</v>
      </c>
      <c r="C412" s="245">
        <v>45292</v>
      </c>
      <c r="D412" s="269">
        <v>19586</v>
      </c>
      <c r="E412" s="251" t="s">
        <v>857</v>
      </c>
      <c r="F412" s="242" t="s">
        <v>467</v>
      </c>
      <c r="G412" s="242" t="s">
        <v>468</v>
      </c>
      <c r="H412" s="242"/>
      <c r="I412" s="242">
        <v>650</v>
      </c>
      <c r="J412" s="262">
        <v>120</v>
      </c>
      <c r="K412" s="312">
        <v>43</v>
      </c>
      <c r="L412" s="263">
        <f t="shared" si="6"/>
        <v>5160</v>
      </c>
    </row>
    <row r="413" spans="1:12" ht="15.75" x14ac:dyDescent="0.25">
      <c r="A413" s="7"/>
      <c r="B413" s="245">
        <v>45292</v>
      </c>
      <c r="C413" s="245">
        <v>45292</v>
      </c>
      <c r="D413" s="269">
        <v>1187</v>
      </c>
      <c r="E413" s="251" t="s">
        <v>858</v>
      </c>
      <c r="F413" s="242" t="s">
        <v>467</v>
      </c>
      <c r="G413" s="242" t="s">
        <v>468</v>
      </c>
      <c r="H413" s="242"/>
      <c r="I413" s="242">
        <v>10</v>
      </c>
      <c r="J413" s="262">
        <v>80</v>
      </c>
      <c r="K413" s="312">
        <v>234.82</v>
      </c>
      <c r="L413" s="263">
        <f t="shared" si="6"/>
        <v>18785.599999999999</v>
      </c>
    </row>
    <row r="414" spans="1:12" ht="15.75" x14ac:dyDescent="0.25">
      <c r="A414" s="7"/>
      <c r="B414" s="245">
        <v>45292</v>
      </c>
      <c r="C414" s="245">
        <v>45292</v>
      </c>
      <c r="D414" s="269">
        <v>13560</v>
      </c>
      <c r="E414" s="251" t="s">
        <v>1985</v>
      </c>
      <c r="F414" s="242" t="s">
        <v>467</v>
      </c>
      <c r="G414" s="242" t="s">
        <v>859</v>
      </c>
      <c r="H414" s="242"/>
      <c r="I414" s="242">
        <v>1</v>
      </c>
      <c r="J414" s="262">
        <v>4</v>
      </c>
      <c r="K414" s="313">
        <v>133</v>
      </c>
      <c r="L414" s="263">
        <f t="shared" si="6"/>
        <v>532</v>
      </c>
    </row>
    <row r="415" spans="1:12" ht="15.75" x14ac:dyDescent="0.25">
      <c r="A415" s="7"/>
      <c r="B415" s="245">
        <v>45292</v>
      </c>
      <c r="C415" s="245">
        <v>45292</v>
      </c>
      <c r="D415" s="269">
        <v>16816</v>
      </c>
      <c r="E415" s="251" t="s">
        <v>860</v>
      </c>
      <c r="F415" s="242" t="s">
        <v>467</v>
      </c>
      <c r="G415" s="242" t="s">
        <v>468</v>
      </c>
      <c r="H415" s="242"/>
      <c r="I415" s="242">
        <v>0</v>
      </c>
      <c r="J415" s="262">
        <v>40</v>
      </c>
      <c r="K415" s="312">
        <v>1382.96</v>
      </c>
      <c r="L415" s="263">
        <f t="shared" si="6"/>
        <v>55318.400000000001</v>
      </c>
    </row>
    <row r="416" spans="1:12" ht="15.75" x14ac:dyDescent="0.25">
      <c r="A416" s="7"/>
      <c r="B416" s="245">
        <v>45292</v>
      </c>
      <c r="C416" s="245">
        <v>45292</v>
      </c>
      <c r="D416" s="269">
        <v>1188</v>
      </c>
      <c r="E416" s="251" t="s">
        <v>861</v>
      </c>
      <c r="F416" s="242" t="s">
        <v>467</v>
      </c>
      <c r="G416" s="242" t="s">
        <v>692</v>
      </c>
      <c r="H416" s="242"/>
      <c r="I416" s="242">
        <v>4</v>
      </c>
      <c r="J416" s="262">
        <v>14</v>
      </c>
      <c r="K416" s="311">
        <v>13865</v>
      </c>
      <c r="L416" s="263">
        <f t="shared" si="6"/>
        <v>194110</v>
      </c>
    </row>
    <row r="417" spans="1:12" ht="15.75" x14ac:dyDescent="0.25">
      <c r="A417" s="7"/>
      <c r="B417" s="245">
        <v>45292</v>
      </c>
      <c r="C417" s="245">
        <v>45292</v>
      </c>
      <c r="D417" s="269">
        <v>17074</v>
      </c>
      <c r="E417" s="251" t="s">
        <v>862</v>
      </c>
      <c r="F417" s="242" t="s">
        <v>467</v>
      </c>
      <c r="G417" s="242" t="s">
        <v>468</v>
      </c>
      <c r="H417" s="242"/>
      <c r="I417" s="242">
        <v>0</v>
      </c>
      <c r="J417" s="262">
        <v>5</v>
      </c>
      <c r="K417" s="311">
        <v>467.28</v>
      </c>
      <c r="L417" s="263">
        <f t="shared" si="6"/>
        <v>2336.3999999999996</v>
      </c>
    </row>
    <row r="418" spans="1:12" ht="15.75" x14ac:dyDescent="0.25">
      <c r="A418" s="7"/>
      <c r="B418" s="245">
        <v>45292</v>
      </c>
      <c r="C418" s="245">
        <v>45292</v>
      </c>
      <c r="D418" s="269">
        <v>1191</v>
      </c>
      <c r="E418" s="251" t="s">
        <v>863</v>
      </c>
      <c r="F418" s="242" t="s">
        <v>467</v>
      </c>
      <c r="G418" s="242" t="s">
        <v>468</v>
      </c>
      <c r="H418" s="242"/>
      <c r="I418" s="242">
        <v>0</v>
      </c>
      <c r="J418" s="262">
        <v>12</v>
      </c>
      <c r="K418" s="312">
        <v>375</v>
      </c>
      <c r="L418" s="263">
        <f t="shared" si="6"/>
        <v>4500</v>
      </c>
    </row>
    <row r="419" spans="1:12" ht="15.75" x14ac:dyDescent="0.25">
      <c r="A419" s="7"/>
      <c r="B419" s="245">
        <v>45292</v>
      </c>
      <c r="C419" s="245">
        <v>45292</v>
      </c>
      <c r="D419" s="269">
        <v>6238</v>
      </c>
      <c r="E419" s="251" t="s">
        <v>864</v>
      </c>
      <c r="F419" s="242" t="s">
        <v>467</v>
      </c>
      <c r="G419" s="242" t="s">
        <v>468</v>
      </c>
      <c r="H419" s="242"/>
      <c r="I419" s="242">
        <v>1</v>
      </c>
      <c r="J419" s="262">
        <v>8</v>
      </c>
      <c r="K419" s="311">
        <v>1298</v>
      </c>
      <c r="L419" s="263">
        <f t="shared" si="6"/>
        <v>10384</v>
      </c>
    </row>
    <row r="420" spans="1:12" ht="15.75" x14ac:dyDescent="0.25">
      <c r="A420" s="7"/>
      <c r="B420" s="245">
        <v>45292</v>
      </c>
      <c r="C420" s="245">
        <v>45292</v>
      </c>
      <c r="D420" s="269">
        <v>1192</v>
      </c>
      <c r="E420" s="251" t="s">
        <v>865</v>
      </c>
      <c r="F420" s="242" t="s">
        <v>467</v>
      </c>
      <c r="G420" s="242" t="s">
        <v>468</v>
      </c>
      <c r="H420" s="242"/>
      <c r="I420" s="242">
        <v>110</v>
      </c>
      <c r="J420" s="262">
        <v>290</v>
      </c>
      <c r="K420" s="311">
        <v>900</v>
      </c>
      <c r="L420" s="263">
        <f t="shared" si="6"/>
        <v>261000</v>
      </c>
    </row>
    <row r="421" spans="1:12" ht="15.75" x14ac:dyDescent="0.25">
      <c r="A421" s="7"/>
      <c r="B421" s="245">
        <v>45292</v>
      </c>
      <c r="C421" s="245">
        <v>45292</v>
      </c>
      <c r="D421" s="269">
        <v>17049</v>
      </c>
      <c r="E421" s="251" t="s">
        <v>866</v>
      </c>
      <c r="F421" s="242" t="s">
        <v>467</v>
      </c>
      <c r="G421" s="242" t="s">
        <v>468</v>
      </c>
      <c r="H421" s="242">
        <v>20</v>
      </c>
      <c r="I421" s="242">
        <v>33</v>
      </c>
      <c r="J421" s="262">
        <v>15</v>
      </c>
      <c r="K421" s="311">
        <v>8708.4</v>
      </c>
      <c r="L421" s="263">
        <f t="shared" si="6"/>
        <v>130626</v>
      </c>
    </row>
    <row r="422" spans="1:12" ht="15.75" x14ac:dyDescent="0.25">
      <c r="A422" s="7"/>
      <c r="B422" s="245">
        <v>45322</v>
      </c>
      <c r="C422" s="245">
        <v>45322</v>
      </c>
      <c r="D422" s="269">
        <v>17055</v>
      </c>
      <c r="E422" s="251" t="s">
        <v>867</v>
      </c>
      <c r="F422" s="242" t="s">
        <v>467</v>
      </c>
      <c r="G422" s="242" t="s">
        <v>468</v>
      </c>
      <c r="H422" s="242">
        <v>50</v>
      </c>
      <c r="I422" s="242">
        <v>80</v>
      </c>
      <c r="J422" s="262">
        <v>40</v>
      </c>
      <c r="K422" s="312">
        <v>1328.63</v>
      </c>
      <c r="L422" s="263">
        <f t="shared" si="6"/>
        <v>53145.200000000004</v>
      </c>
    </row>
    <row r="423" spans="1:12" ht="15.75" x14ac:dyDescent="0.25">
      <c r="A423" s="7"/>
      <c r="B423" s="245">
        <v>45292</v>
      </c>
      <c r="C423" s="245">
        <v>45292</v>
      </c>
      <c r="D423" s="269">
        <v>20072</v>
      </c>
      <c r="E423" s="251" t="s">
        <v>835</v>
      </c>
      <c r="F423" s="242" t="s">
        <v>469</v>
      </c>
      <c r="G423" s="242" t="s">
        <v>480</v>
      </c>
      <c r="H423" s="242"/>
      <c r="I423" s="242">
        <v>8</v>
      </c>
      <c r="J423" s="262">
        <v>64</v>
      </c>
      <c r="K423" s="312">
        <v>9000</v>
      </c>
      <c r="L423" s="263">
        <f t="shared" si="6"/>
        <v>576000</v>
      </c>
    </row>
    <row r="424" spans="1:12" ht="15.75" x14ac:dyDescent="0.25">
      <c r="A424" s="7"/>
      <c r="B424" s="245">
        <v>45292</v>
      </c>
      <c r="C424" s="245">
        <v>45292</v>
      </c>
      <c r="D424" s="269">
        <v>9555</v>
      </c>
      <c r="E424" s="251" t="s">
        <v>872</v>
      </c>
      <c r="F424" s="242" t="s">
        <v>470</v>
      </c>
      <c r="G424" s="242" t="s">
        <v>480</v>
      </c>
      <c r="H424" s="242"/>
      <c r="I424" s="242">
        <v>240</v>
      </c>
      <c r="J424" s="262">
        <v>1630</v>
      </c>
      <c r="K424" s="312">
        <v>77</v>
      </c>
      <c r="L424" s="263">
        <f t="shared" si="6"/>
        <v>125510</v>
      </c>
    </row>
    <row r="425" spans="1:12" ht="15.75" x14ac:dyDescent="0.25">
      <c r="A425" s="7"/>
      <c r="B425" s="245">
        <v>45292</v>
      </c>
      <c r="C425" s="245">
        <v>45292</v>
      </c>
      <c r="D425" s="269">
        <v>1335</v>
      </c>
      <c r="E425" s="251" t="s">
        <v>873</v>
      </c>
      <c r="F425" s="242" t="s">
        <v>470</v>
      </c>
      <c r="G425" s="242" t="s">
        <v>480</v>
      </c>
      <c r="H425" s="242"/>
      <c r="I425" s="242">
        <v>10</v>
      </c>
      <c r="J425" s="262">
        <v>22</v>
      </c>
      <c r="K425" s="311">
        <v>625</v>
      </c>
      <c r="L425" s="263">
        <f t="shared" si="6"/>
        <v>13750</v>
      </c>
    </row>
    <row r="426" spans="1:12" ht="15.75" x14ac:dyDescent="0.25">
      <c r="A426" s="7"/>
      <c r="B426" s="245">
        <v>45292</v>
      </c>
      <c r="C426" s="245">
        <v>45292</v>
      </c>
      <c r="D426" s="269">
        <v>2275</v>
      </c>
      <c r="E426" s="251" t="s">
        <v>880</v>
      </c>
      <c r="F426" s="242" t="s">
        <v>470</v>
      </c>
      <c r="G426" s="242" t="s">
        <v>480</v>
      </c>
      <c r="H426" s="242">
        <v>160</v>
      </c>
      <c r="I426" s="242">
        <v>18</v>
      </c>
      <c r="J426" s="262">
        <v>270</v>
      </c>
      <c r="K426" s="312">
        <v>1300</v>
      </c>
      <c r="L426" s="263">
        <f t="shared" si="6"/>
        <v>351000</v>
      </c>
    </row>
    <row r="427" spans="1:12" ht="15.75" x14ac:dyDescent="0.25">
      <c r="A427" s="7"/>
      <c r="B427" s="245">
        <v>45292</v>
      </c>
      <c r="C427" s="245">
        <v>45292</v>
      </c>
      <c r="D427" s="269">
        <v>1205</v>
      </c>
      <c r="E427" s="251" t="s">
        <v>881</v>
      </c>
      <c r="F427" s="242" t="s">
        <v>470</v>
      </c>
      <c r="G427" s="242" t="s">
        <v>478</v>
      </c>
      <c r="H427" s="242"/>
      <c r="I427" s="242">
        <v>0</v>
      </c>
      <c r="J427" s="262">
        <v>60</v>
      </c>
      <c r="K427" s="312">
        <v>66.66</v>
      </c>
      <c r="L427" s="263">
        <f t="shared" si="6"/>
        <v>3999.6</v>
      </c>
    </row>
    <row r="428" spans="1:12" ht="15.75" x14ac:dyDescent="0.25">
      <c r="A428" s="7"/>
      <c r="B428" s="245">
        <v>45292</v>
      </c>
      <c r="C428" s="245">
        <v>45292</v>
      </c>
      <c r="D428" s="269">
        <v>1209</v>
      </c>
      <c r="E428" s="251" t="s">
        <v>882</v>
      </c>
      <c r="F428" s="242" t="s">
        <v>470</v>
      </c>
      <c r="G428" s="242" t="s">
        <v>474</v>
      </c>
      <c r="H428" s="242">
        <v>200</v>
      </c>
      <c r="I428" s="242">
        <v>290</v>
      </c>
      <c r="J428" s="262">
        <v>570</v>
      </c>
      <c r="K428" s="311">
        <v>90</v>
      </c>
      <c r="L428" s="263">
        <f t="shared" si="6"/>
        <v>51300</v>
      </c>
    </row>
    <row r="429" spans="1:12" ht="15.75" x14ac:dyDescent="0.25">
      <c r="A429" s="7"/>
      <c r="B429" s="245">
        <v>45292</v>
      </c>
      <c r="C429" s="245">
        <v>45292</v>
      </c>
      <c r="D429" s="269">
        <v>21622</v>
      </c>
      <c r="E429" s="251" t="s">
        <v>883</v>
      </c>
      <c r="F429" s="242" t="s">
        <v>470</v>
      </c>
      <c r="G429" s="242" t="s">
        <v>468</v>
      </c>
      <c r="H429" s="242"/>
      <c r="I429" s="242">
        <v>0</v>
      </c>
      <c r="J429" s="262">
        <v>16</v>
      </c>
      <c r="K429" s="311">
        <v>1755</v>
      </c>
      <c r="L429" s="263">
        <f t="shared" si="6"/>
        <v>28080</v>
      </c>
    </row>
    <row r="430" spans="1:12" ht="15.75" x14ac:dyDescent="0.25">
      <c r="A430" s="7"/>
      <c r="B430" s="245">
        <v>45292</v>
      </c>
      <c r="C430" s="245">
        <v>45292</v>
      </c>
      <c r="D430" s="269">
        <v>1467</v>
      </c>
      <c r="E430" s="251" t="s">
        <v>895</v>
      </c>
      <c r="F430" s="242" t="s">
        <v>470</v>
      </c>
      <c r="G430" s="242" t="s">
        <v>478</v>
      </c>
      <c r="H430" s="242"/>
      <c r="I430" s="242">
        <v>0</v>
      </c>
      <c r="J430" s="262">
        <v>300</v>
      </c>
      <c r="K430" s="312">
        <v>1.06</v>
      </c>
      <c r="L430" s="263">
        <f t="shared" si="6"/>
        <v>318</v>
      </c>
    </row>
    <row r="431" spans="1:12" ht="15.75" x14ac:dyDescent="0.25">
      <c r="A431" s="7"/>
      <c r="B431" s="245">
        <v>45292</v>
      </c>
      <c r="C431" s="245">
        <v>45292</v>
      </c>
      <c r="D431" s="269">
        <v>17056</v>
      </c>
      <c r="E431" s="251" t="s">
        <v>868</v>
      </c>
      <c r="F431" s="242" t="s">
        <v>467</v>
      </c>
      <c r="G431" s="242" t="s">
        <v>468</v>
      </c>
      <c r="H431" s="242">
        <v>200</v>
      </c>
      <c r="I431" s="242">
        <v>600</v>
      </c>
      <c r="J431" s="262">
        <v>120</v>
      </c>
      <c r="K431" s="312">
        <v>1313.9</v>
      </c>
      <c r="L431" s="263">
        <f t="shared" si="6"/>
        <v>157668</v>
      </c>
    </row>
    <row r="432" spans="1:12" ht="15.75" x14ac:dyDescent="0.25">
      <c r="A432" s="7"/>
      <c r="B432" s="245">
        <v>45292</v>
      </c>
      <c r="C432" s="245">
        <v>45292</v>
      </c>
      <c r="D432" s="269">
        <v>20025</v>
      </c>
      <c r="E432" s="251" t="s">
        <v>841</v>
      </c>
      <c r="F432" s="242" t="s">
        <v>502</v>
      </c>
      <c r="G432" s="242" t="s">
        <v>468</v>
      </c>
      <c r="H432" s="242"/>
      <c r="I432" s="242">
        <v>0</v>
      </c>
      <c r="J432" s="262">
        <v>690</v>
      </c>
      <c r="K432" s="312">
        <v>1108</v>
      </c>
      <c r="L432" s="263">
        <f t="shared" si="6"/>
        <v>764520</v>
      </c>
    </row>
    <row r="433" spans="1:12" ht="15.75" x14ac:dyDescent="0.25">
      <c r="A433" s="7"/>
      <c r="B433" s="245">
        <v>45292</v>
      </c>
      <c r="C433" s="245">
        <v>45292</v>
      </c>
      <c r="D433" s="269">
        <v>21589</v>
      </c>
      <c r="E433" s="251" t="s">
        <v>901</v>
      </c>
      <c r="F433" s="242" t="s">
        <v>470</v>
      </c>
      <c r="G433" s="242" t="s">
        <v>468</v>
      </c>
      <c r="H433" s="242"/>
      <c r="I433" s="242">
        <v>4</v>
      </c>
      <c r="J433" s="262">
        <v>11</v>
      </c>
      <c r="K433" s="312">
        <v>6192</v>
      </c>
      <c r="L433" s="263">
        <f t="shared" si="6"/>
        <v>68112</v>
      </c>
    </row>
    <row r="434" spans="1:12" ht="15.75" x14ac:dyDescent="0.25">
      <c r="A434" s="7"/>
      <c r="B434" s="245">
        <v>45292</v>
      </c>
      <c r="C434" s="245">
        <v>45292</v>
      </c>
      <c r="D434" s="269">
        <v>21588</v>
      </c>
      <c r="E434" s="251" t="s">
        <v>902</v>
      </c>
      <c r="F434" s="242" t="s">
        <v>470</v>
      </c>
      <c r="G434" s="242" t="s">
        <v>468</v>
      </c>
      <c r="H434" s="242"/>
      <c r="I434" s="242">
        <v>3</v>
      </c>
      <c r="J434" s="262">
        <v>8</v>
      </c>
      <c r="K434" s="311">
        <v>6192</v>
      </c>
      <c r="L434" s="263">
        <f t="shared" si="6"/>
        <v>49536</v>
      </c>
    </row>
    <row r="435" spans="1:12" ht="15.75" x14ac:dyDescent="0.25">
      <c r="A435" s="7"/>
      <c r="B435" s="245">
        <v>45292</v>
      </c>
      <c r="C435" s="245">
        <v>45292</v>
      </c>
      <c r="D435" s="269">
        <v>19074</v>
      </c>
      <c r="E435" s="251" t="s">
        <v>904</v>
      </c>
      <c r="F435" s="242" t="s">
        <v>470</v>
      </c>
      <c r="G435" s="242" t="s">
        <v>478</v>
      </c>
      <c r="H435" s="242"/>
      <c r="I435" s="242">
        <v>60</v>
      </c>
      <c r="J435" s="262">
        <v>30</v>
      </c>
      <c r="K435" s="312">
        <v>43.13</v>
      </c>
      <c r="L435" s="263">
        <f t="shared" si="6"/>
        <v>1293.9000000000001</v>
      </c>
    </row>
    <row r="436" spans="1:12" ht="15.75" x14ac:dyDescent="0.25">
      <c r="A436" s="7"/>
      <c r="B436" s="245">
        <v>45292</v>
      </c>
      <c r="C436" s="245">
        <v>45292</v>
      </c>
      <c r="D436" s="269">
        <v>11320</v>
      </c>
      <c r="E436" s="251" t="s">
        <v>906</v>
      </c>
      <c r="F436" s="242" t="s">
        <v>470</v>
      </c>
      <c r="G436" s="242" t="s">
        <v>480</v>
      </c>
      <c r="H436" s="242"/>
      <c r="I436" s="242">
        <v>0</v>
      </c>
      <c r="J436" s="262">
        <v>61</v>
      </c>
      <c r="K436" s="314">
        <v>350</v>
      </c>
      <c r="L436" s="263">
        <f t="shared" si="6"/>
        <v>21350</v>
      </c>
    </row>
    <row r="437" spans="1:12" ht="15.75" x14ac:dyDescent="0.25">
      <c r="A437" s="7"/>
      <c r="B437" s="245">
        <v>45292</v>
      </c>
      <c r="C437" s="245">
        <v>45292</v>
      </c>
      <c r="D437" s="269">
        <v>1156</v>
      </c>
      <c r="E437" s="251" t="s">
        <v>844</v>
      </c>
      <c r="F437" s="242" t="s">
        <v>502</v>
      </c>
      <c r="G437" s="242" t="s">
        <v>474</v>
      </c>
      <c r="H437" s="242"/>
      <c r="I437" s="242">
        <v>0</v>
      </c>
      <c r="J437" s="262">
        <v>260</v>
      </c>
      <c r="K437" s="312">
        <v>70</v>
      </c>
      <c r="L437" s="263">
        <f t="shared" si="6"/>
        <v>18200</v>
      </c>
    </row>
    <row r="438" spans="1:12" ht="15.75" x14ac:dyDescent="0.25">
      <c r="A438" s="7"/>
      <c r="B438" s="245">
        <v>45292</v>
      </c>
      <c r="C438" s="245">
        <v>45292</v>
      </c>
      <c r="D438" s="269">
        <v>1157</v>
      </c>
      <c r="E438" s="251" t="s">
        <v>845</v>
      </c>
      <c r="F438" s="242" t="s">
        <v>502</v>
      </c>
      <c r="G438" s="242" t="s">
        <v>474</v>
      </c>
      <c r="H438" s="242"/>
      <c r="I438" s="242">
        <v>10</v>
      </c>
      <c r="J438" s="262">
        <v>20</v>
      </c>
      <c r="K438" s="311">
        <v>350</v>
      </c>
      <c r="L438" s="263">
        <f t="shared" si="6"/>
        <v>7000</v>
      </c>
    </row>
    <row r="439" spans="1:12" ht="15.75" x14ac:dyDescent="0.25">
      <c r="A439" s="7"/>
      <c r="B439" s="245">
        <v>45292</v>
      </c>
      <c r="C439" s="245">
        <v>45292</v>
      </c>
      <c r="D439" s="269">
        <v>1225</v>
      </c>
      <c r="E439" s="251" t="s">
        <v>907</v>
      </c>
      <c r="F439" s="242" t="s">
        <v>470</v>
      </c>
      <c r="G439" s="242" t="s">
        <v>480</v>
      </c>
      <c r="H439" s="242"/>
      <c r="I439" s="242">
        <v>4</v>
      </c>
      <c r="J439" s="262">
        <v>118</v>
      </c>
      <c r="K439" s="311">
        <v>108.38</v>
      </c>
      <c r="L439" s="263">
        <f t="shared" si="6"/>
        <v>12788.84</v>
      </c>
    </row>
    <row r="440" spans="1:12" ht="15.75" x14ac:dyDescent="0.25">
      <c r="A440" s="7"/>
      <c r="B440" s="245">
        <v>45292</v>
      </c>
      <c r="C440" s="245">
        <v>45292</v>
      </c>
      <c r="D440" s="269">
        <v>9934</v>
      </c>
      <c r="E440" s="251" t="s">
        <v>869</v>
      </c>
      <c r="F440" s="242" t="s">
        <v>467</v>
      </c>
      <c r="G440" s="242" t="s">
        <v>468</v>
      </c>
      <c r="H440" s="242"/>
      <c r="I440" s="242">
        <v>20</v>
      </c>
      <c r="J440" s="262">
        <v>83</v>
      </c>
      <c r="K440" s="311">
        <v>5074</v>
      </c>
      <c r="L440" s="263">
        <f t="shared" si="6"/>
        <v>421142</v>
      </c>
    </row>
    <row r="441" spans="1:12" ht="15.75" x14ac:dyDescent="0.25">
      <c r="A441" s="7"/>
      <c r="B441" s="245">
        <v>45292</v>
      </c>
      <c r="C441" s="245">
        <v>45292</v>
      </c>
      <c r="D441" s="269">
        <v>869</v>
      </c>
      <c r="E441" s="251" t="s">
        <v>909</v>
      </c>
      <c r="F441" s="242" t="s">
        <v>470</v>
      </c>
      <c r="G441" s="242" t="s">
        <v>474</v>
      </c>
      <c r="H441" s="242"/>
      <c r="I441" s="242">
        <v>15</v>
      </c>
      <c r="J441" s="262">
        <v>18</v>
      </c>
      <c r="K441" s="311">
        <v>154</v>
      </c>
      <c r="L441" s="263">
        <f t="shared" si="6"/>
        <v>2772</v>
      </c>
    </row>
    <row r="442" spans="1:12" ht="15.75" x14ac:dyDescent="0.25">
      <c r="A442" s="7"/>
      <c r="B442" s="245">
        <v>45292</v>
      </c>
      <c r="C442" s="245">
        <v>45292</v>
      </c>
      <c r="D442" s="269">
        <v>1228</v>
      </c>
      <c r="E442" s="251" t="s">
        <v>912</v>
      </c>
      <c r="F442" s="242" t="s">
        <v>470</v>
      </c>
      <c r="G442" s="242" t="s">
        <v>480</v>
      </c>
      <c r="H442" s="242"/>
      <c r="I442" s="242">
        <v>17</v>
      </c>
      <c r="J442" s="262">
        <v>6</v>
      </c>
      <c r="K442" s="311">
        <v>6498</v>
      </c>
      <c r="L442" s="263">
        <f t="shared" si="6"/>
        <v>38988</v>
      </c>
    </row>
    <row r="443" spans="1:12" ht="15.75" x14ac:dyDescent="0.25">
      <c r="A443" s="7"/>
      <c r="B443" s="245">
        <v>45292</v>
      </c>
      <c r="C443" s="245">
        <v>45292</v>
      </c>
      <c r="D443" s="269">
        <v>3296</v>
      </c>
      <c r="E443" s="251" t="s">
        <v>2384</v>
      </c>
      <c r="F443" s="242" t="s">
        <v>467</v>
      </c>
      <c r="G443" s="242" t="s">
        <v>468</v>
      </c>
      <c r="H443" s="242"/>
      <c r="I443" s="242">
        <v>0</v>
      </c>
      <c r="J443" s="262">
        <v>40</v>
      </c>
      <c r="K443" s="311">
        <v>74</v>
      </c>
      <c r="L443" s="263">
        <f t="shared" si="6"/>
        <v>2960</v>
      </c>
    </row>
    <row r="444" spans="1:12" ht="15.75" x14ac:dyDescent="0.25">
      <c r="A444" s="7"/>
      <c r="B444" s="245">
        <v>45292</v>
      </c>
      <c r="C444" s="245">
        <v>45292</v>
      </c>
      <c r="D444" s="269">
        <v>7979</v>
      </c>
      <c r="E444" s="251" t="s">
        <v>2385</v>
      </c>
      <c r="F444" s="242" t="s">
        <v>467</v>
      </c>
      <c r="G444" s="242" t="s">
        <v>468</v>
      </c>
      <c r="H444" s="242"/>
      <c r="I444" s="242">
        <v>0</v>
      </c>
      <c r="J444" s="262">
        <v>40</v>
      </c>
      <c r="K444" s="312">
        <v>74</v>
      </c>
      <c r="L444" s="263">
        <f t="shared" si="6"/>
        <v>2960</v>
      </c>
    </row>
    <row r="445" spans="1:12" ht="15.75" x14ac:dyDescent="0.25">
      <c r="A445" s="7"/>
      <c r="B445" s="245">
        <v>45292</v>
      </c>
      <c r="C445" s="245">
        <v>45292</v>
      </c>
      <c r="D445" s="269">
        <v>21839</v>
      </c>
      <c r="E445" s="251" t="s">
        <v>2386</v>
      </c>
      <c r="F445" s="242" t="s">
        <v>467</v>
      </c>
      <c r="G445" s="242" t="s">
        <v>468</v>
      </c>
      <c r="H445" s="242"/>
      <c r="I445" s="242">
        <v>0</v>
      </c>
      <c r="J445" s="262">
        <v>40</v>
      </c>
      <c r="K445" s="312">
        <v>74</v>
      </c>
      <c r="L445" s="263">
        <f t="shared" si="6"/>
        <v>2960</v>
      </c>
    </row>
    <row r="446" spans="1:12" ht="15.75" x14ac:dyDescent="0.25">
      <c r="A446" s="7"/>
      <c r="B446" s="245">
        <v>45292</v>
      </c>
      <c r="C446" s="245">
        <v>45292</v>
      </c>
      <c r="D446" s="269">
        <v>7978</v>
      </c>
      <c r="E446" s="251" t="s">
        <v>2387</v>
      </c>
      <c r="F446" s="242" t="s">
        <v>467</v>
      </c>
      <c r="G446" s="242" t="s">
        <v>468</v>
      </c>
      <c r="H446" s="242"/>
      <c r="I446" s="242">
        <v>0</v>
      </c>
      <c r="J446" s="262">
        <v>40</v>
      </c>
      <c r="K446" s="314">
        <v>75.52</v>
      </c>
      <c r="L446" s="263">
        <f t="shared" si="6"/>
        <v>3020.7999999999997</v>
      </c>
    </row>
    <row r="447" spans="1:12" ht="15.75" x14ac:dyDescent="0.25">
      <c r="A447" s="7"/>
      <c r="B447" s="245">
        <v>45292</v>
      </c>
      <c r="C447" s="245">
        <v>45292</v>
      </c>
      <c r="D447" s="269">
        <v>5962</v>
      </c>
      <c r="E447" s="251" t="s">
        <v>913</v>
      </c>
      <c r="F447" s="242" t="s">
        <v>470</v>
      </c>
      <c r="G447" s="242" t="s">
        <v>474</v>
      </c>
      <c r="H447" s="242"/>
      <c r="I447" s="242">
        <v>0</v>
      </c>
      <c r="J447" s="262">
        <v>100</v>
      </c>
      <c r="K447" s="312">
        <v>49</v>
      </c>
      <c r="L447" s="263">
        <f t="shared" si="6"/>
        <v>4900</v>
      </c>
    </row>
    <row r="448" spans="1:12" ht="15.75" x14ac:dyDescent="0.25">
      <c r="A448" s="7"/>
      <c r="B448" s="245">
        <v>45292</v>
      </c>
      <c r="C448" s="245">
        <v>45292</v>
      </c>
      <c r="D448" s="269">
        <v>12759</v>
      </c>
      <c r="E448" s="251" t="s">
        <v>933</v>
      </c>
      <c r="F448" s="242" t="s">
        <v>470</v>
      </c>
      <c r="G448" s="242" t="s">
        <v>468</v>
      </c>
      <c r="H448" s="242"/>
      <c r="I448" s="242">
        <v>0</v>
      </c>
      <c r="J448" s="262">
        <v>15</v>
      </c>
      <c r="K448" s="311">
        <v>330</v>
      </c>
      <c r="L448" s="263">
        <f t="shared" si="6"/>
        <v>4950</v>
      </c>
    </row>
    <row r="449" spans="1:12" ht="15.75" x14ac:dyDescent="0.25">
      <c r="A449" s="7"/>
      <c r="B449" s="245">
        <v>45292</v>
      </c>
      <c r="C449" s="245">
        <v>45292</v>
      </c>
      <c r="D449" s="269">
        <v>1243</v>
      </c>
      <c r="E449" s="251" t="s">
        <v>2525</v>
      </c>
      <c r="F449" s="242" t="s">
        <v>470</v>
      </c>
      <c r="G449" s="242" t="s">
        <v>474</v>
      </c>
      <c r="H449" s="242">
        <v>2000</v>
      </c>
      <c r="I449" s="242">
        <v>300</v>
      </c>
      <c r="J449" s="262">
        <v>1700</v>
      </c>
      <c r="K449" s="312">
        <v>38.049999999999997</v>
      </c>
      <c r="L449" s="263">
        <f t="shared" si="6"/>
        <v>64684.999999999993</v>
      </c>
    </row>
    <row r="450" spans="1:12" ht="15.75" x14ac:dyDescent="0.25">
      <c r="A450" s="7"/>
      <c r="B450" s="245">
        <v>45322</v>
      </c>
      <c r="C450" s="245">
        <v>45322</v>
      </c>
      <c r="D450" s="269">
        <v>1248</v>
      </c>
      <c r="E450" s="251" t="s">
        <v>939</v>
      </c>
      <c r="F450" s="242" t="s">
        <v>470</v>
      </c>
      <c r="G450" s="242" t="s">
        <v>480</v>
      </c>
      <c r="H450" s="242">
        <v>40</v>
      </c>
      <c r="I450" s="242">
        <v>9</v>
      </c>
      <c r="J450" s="262">
        <v>34</v>
      </c>
      <c r="K450" s="312">
        <v>1510.4</v>
      </c>
      <c r="L450" s="263">
        <f t="shared" si="6"/>
        <v>51353.600000000006</v>
      </c>
    </row>
    <row r="451" spans="1:12" ht="15.75" x14ac:dyDescent="0.25">
      <c r="A451" s="7"/>
      <c r="B451" s="245">
        <v>45292</v>
      </c>
      <c r="C451" s="245">
        <v>45292</v>
      </c>
      <c r="D451" s="269">
        <v>1254</v>
      </c>
      <c r="E451" s="251" t="s">
        <v>943</v>
      </c>
      <c r="F451" s="242" t="s">
        <v>470</v>
      </c>
      <c r="G451" s="242" t="s">
        <v>468</v>
      </c>
      <c r="H451" s="242"/>
      <c r="I451" s="242">
        <v>0</v>
      </c>
      <c r="J451" s="262">
        <v>3</v>
      </c>
      <c r="K451" s="312">
        <v>29550</v>
      </c>
      <c r="L451" s="263">
        <f t="shared" si="6"/>
        <v>88650</v>
      </c>
    </row>
    <row r="452" spans="1:12" ht="15.75" x14ac:dyDescent="0.25">
      <c r="A452" s="7"/>
      <c r="B452" s="245">
        <v>45292</v>
      </c>
      <c r="C452" s="245">
        <v>45292</v>
      </c>
      <c r="D452" s="269">
        <v>1256</v>
      </c>
      <c r="E452" s="251" t="s">
        <v>944</v>
      </c>
      <c r="F452" s="242" t="s">
        <v>470</v>
      </c>
      <c r="G452" s="242" t="s">
        <v>480</v>
      </c>
      <c r="H452" s="242"/>
      <c r="I452" s="242">
        <v>10</v>
      </c>
      <c r="J452" s="262">
        <v>179</v>
      </c>
      <c r="K452" s="312">
        <v>907.69</v>
      </c>
      <c r="L452" s="263">
        <f t="shared" si="6"/>
        <v>162476.51</v>
      </c>
    </row>
    <row r="453" spans="1:12" ht="15.75" x14ac:dyDescent="0.25">
      <c r="A453" s="7"/>
      <c r="B453" s="245">
        <v>45292</v>
      </c>
      <c r="C453" s="245">
        <v>45292</v>
      </c>
      <c r="D453" s="269">
        <v>1259</v>
      </c>
      <c r="E453" s="251" t="s">
        <v>945</v>
      </c>
      <c r="F453" s="242" t="s">
        <v>470</v>
      </c>
      <c r="G453" s="242" t="s">
        <v>480</v>
      </c>
      <c r="H453" s="242"/>
      <c r="I453" s="242">
        <v>46</v>
      </c>
      <c r="J453" s="262">
        <v>350</v>
      </c>
      <c r="K453" s="312">
        <v>1500</v>
      </c>
      <c r="L453" s="263">
        <f t="shared" si="6"/>
        <v>525000</v>
      </c>
    </row>
    <row r="454" spans="1:12" ht="15.75" x14ac:dyDescent="0.25">
      <c r="A454" s="7"/>
      <c r="B454" s="245">
        <v>45292</v>
      </c>
      <c r="C454" s="245">
        <v>45292</v>
      </c>
      <c r="D454" s="269">
        <v>1281</v>
      </c>
      <c r="E454" s="251" t="s">
        <v>966</v>
      </c>
      <c r="F454" s="242" t="s">
        <v>470</v>
      </c>
      <c r="G454" s="242" t="s">
        <v>480</v>
      </c>
      <c r="H454" s="242"/>
      <c r="I454" s="242">
        <v>270</v>
      </c>
      <c r="J454" s="262">
        <v>650</v>
      </c>
      <c r="K454" s="312">
        <v>115</v>
      </c>
      <c r="L454" s="263">
        <f t="shared" si="6"/>
        <v>74750</v>
      </c>
    </row>
    <row r="455" spans="1:12" ht="15.75" x14ac:dyDescent="0.25">
      <c r="A455" s="7"/>
      <c r="B455" s="245">
        <v>45292</v>
      </c>
      <c r="C455" s="245">
        <v>45292</v>
      </c>
      <c r="D455" s="269">
        <v>19178</v>
      </c>
      <c r="E455" s="251" t="s">
        <v>870</v>
      </c>
      <c r="F455" s="242" t="s">
        <v>467</v>
      </c>
      <c r="G455" s="242" t="s">
        <v>468</v>
      </c>
      <c r="H455" s="242"/>
      <c r="I455" s="242">
        <v>2</v>
      </c>
      <c r="J455" s="262">
        <v>15</v>
      </c>
      <c r="K455" s="311">
        <v>5077.0999999999995</v>
      </c>
      <c r="L455" s="263">
        <f t="shared" si="6"/>
        <v>76156.499999999985</v>
      </c>
    </row>
    <row r="456" spans="1:12" ht="15.75" x14ac:dyDescent="0.25">
      <c r="A456" s="7"/>
      <c r="B456" s="245">
        <v>45292</v>
      </c>
      <c r="C456" s="245">
        <v>45292</v>
      </c>
      <c r="D456" s="269">
        <v>17093</v>
      </c>
      <c r="E456" s="251" t="s">
        <v>871</v>
      </c>
      <c r="F456" s="242" t="s">
        <v>467</v>
      </c>
      <c r="G456" s="242" t="s">
        <v>468</v>
      </c>
      <c r="H456" s="242"/>
      <c r="I456" s="242">
        <v>11</v>
      </c>
      <c r="J456" s="262">
        <v>7</v>
      </c>
      <c r="K456" s="314">
        <v>6079.36</v>
      </c>
      <c r="L456" s="263">
        <f t="shared" si="6"/>
        <v>42555.519999999997</v>
      </c>
    </row>
    <row r="457" spans="1:12" ht="15.75" x14ac:dyDescent="0.25">
      <c r="A457" s="7"/>
      <c r="B457" s="245">
        <v>45292</v>
      </c>
      <c r="C457" s="245">
        <v>45292</v>
      </c>
      <c r="D457" s="269">
        <v>1193</v>
      </c>
      <c r="E457" s="251" t="s">
        <v>1986</v>
      </c>
      <c r="F457" s="242" t="s">
        <v>467</v>
      </c>
      <c r="G457" s="242" t="s">
        <v>468</v>
      </c>
      <c r="H457" s="242"/>
      <c r="I457" s="242">
        <v>800</v>
      </c>
      <c r="J457" s="262">
        <v>500</v>
      </c>
      <c r="K457" s="311">
        <v>12</v>
      </c>
      <c r="L457" s="263">
        <f t="shared" si="6"/>
        <v>6000</v>
      </c>
    </row>
    <row r="458" spans="1:12" ht="15.75" x14ac:dyDescent="0.25">
      <c r="A458" s="7"/>
      <c r="B458" s="245">
        <v>45292</v>
      </c>
      <c r="C458" s="245">
        <v>45292</v>
      </c>
      <c r="D458" s="269">
        <v>943</v>
      </c>
      <c r="E458" s="251" t="s">
        <v>2388</v>
      </c>
      <c r="F458" s="242" t="s">
        <v>467</v>
      </c>
      <c r="G458" s="242" t="s">
        <v>468</v>
      </c>
      <c r="H458" s="242"/>
      <c r="I458" s="242">
        <v>10</v>
      </c>
      <c r="J458" s="262">
        <v>210</v>
      </c>
      <c r="K458" s="312">
        <v>1964.91</v>
      </c>
      <c r="L458" s="263">
        <f t="shared" si="6"/>
        <v>412631.10000000003</v>
      </c>
    </row>
    <row r="459" spans="1:12" ht="15.75" x14ac:dyDescent="0.25">
      <c r="A459" s="7"/>
      <c r="B459" s="245">
        <v>45292</v>
      </c>
      <c r="C459" s="245">
        <v>45292</v>
      </c>
      <c r="D459" s="269">
        <v>5235</v>
      </c>
      <c r="E459" s="251" t="s">
        <v>874</v>
      </c>
      <c r="F459" s="242" t="s">
        <v>467</v>
      </c>
      <c r="G459" s="242" t="s">
        <v>468</v>
      </c>
      <c r="H459" s="242"/>
      <c r="I459" s="242">
        <v>0</v>
      </c>
      <c r="J459" s="262">
        <v>212</v>
      </c>
      <c r="K459" s="312">
        <v>3219.04</v>
      </c>
      <c r="L459" s="263">
        <f t="shared" si="6"/>
        <v>682436.48</v>
      </c>
    </row>
    <row r="460" spans="1:12" ht="15.75" x14ac:dyDescent="0.25">
      <c r="A460" s="7"/>
      <c r="B460" s="245">
        <v>45292</v>
      </c>
      <c r="C460" s="245">
        <v>45292</v>
      </c>
      <c r="D460" s="269">
        <v>1444</v>
      </c>
      <c r="E460" s="251" t="s">
        <v>876</v>
      </c>
      <c r="F460" s="242" t="s">
        <v>467</v>
      </c>
      <c r="G460" s="242" t="s">
        <v>703</v>
      </c>
      <c r="H460" s="242"/>
      <c r="I460" s="242">
        <v>0</v>
      </c>
      <c r="J460" s="262">
        <v>42</v>
      </c>
      <c r="K460" s="311">
        <v>452.16999999999996</v>
      </c>
      <c r="L460" s="263">
        <f t="shared" si="6"/>
        <v>18991.14</v>
      </c>
    </row>
    <row r="461" spans="1:12" ht="15.75" x14ac:dyDescent="0.25">
      <c r="A461" s="7"/>
      <c r="B461" s="245">
        <v>45292</v>
      </c>
      <c r="C461" s="245">
        <v>45292</v>
      </c>
      <c r="D461" s="269">
        <v>15397</v>
      </c>
      <c r="E461" s="251" t="s">
        <v>877</v>
      </c>
      <c r="F461" s="242" t="s">
        <v>467</v>
      </c>
      <c r="G461" s="242" t="s">
        <v>468</v>
      </c>
      <c r="H461" s="242"/>
      <c r="I461" s="242">
        <v>0</v>
      </c>
      <c r="J461" s="262">
        <v>24</v>
      </c>
      <c r="K461" s="312">
        <v>2450</v>
      </c>
      <c r="L461" s="263">
        <f t="shared" si="6"/>
        <v>58800</v>
      </c>
    </row>
    <row r="462" spans="1:12" ht="15.75" x14ac:dyDescent="0.25">
      <c r="A462" s="7"/>
      <c r="B462" s="245">
        <v>45292</v>
      </c>
      <c r="C462" s="245">
        <v>45292</v>
      </c>
      <c r="D462" s="269">
        <v>1200</v>
      </c>
      <c r="E462" s="251" t="s">
        <v>878</v>
      </c>
      <c r="F462" s="242" t="s">
        <v>467</v>
      </c>
      <c r="G462" s="242" t="s">
        <v>468</v>
      </c>
      <c r="H462" s="242"/>
      <c r="I462" s="242">
        <v>75</v>
      </c>
      <c r="J462" s="262">
        <v>80</v>
      </c>
      <c r="K462" s="312">
        <v>413</v>
      </c>
      <c r="L462" s="263">
        <f t="shared" ref="L462:L525" si="7">+K462*J462</f>
        <v>33040</v>
      </c>
    </row>
    <row r="463" spans="1:12" ht="15.75" x14ac:dyDescent="0.25">
      <c r="A463" s="7"/>
      <c r="B463" s="245">
        <v>45292</v>
      </c>
      <c r="C463" s="245">
        <v>45292</v>
      </c>
      <c r="D463" s="269">
        <v>19955</v>
      </c>
      <c r="E463" s="251" t="s">
        <v>879</v>
      </c>
      <c r="F463" s="242" t="s">
        <v>467</v>
      </c>
      <c r="G463" s="242" t="s">
        <v>468</v>
      </c>
      <c r="H463" s="242"/>
      <c r="I463" s="242">
        <v>0</v>
      </c>
      <c r="J463" s="262">
        <v>200</v>
      </c>
      <c r="K463" s="311">
        <v>114.224</v>
      </c>
      <c r="L463" s="263">
        <f t="shared" si="7"/>
        <v>22844.799999999999</v>
      </c>
    </row>
    <row r="464" spans="1:12" ht="15.75" x14ac:dyDescent="0.25">
      <c r="A464" s="7"/>
      <c r="B464" s="245">
        <v>45292</v>
      </c>
      <c r="C464" s="245">
        <v>45292</v>
      </c>
      <c r="D464" s="269">
        <v>15734</v>
      </c>
      <c r="E464" s="251" t="s">
        <v>884</v>
      </c>
      <c r="F464" s="242" t="s">
        <v>467</v>
      </c>
      <c r="G464" s="242" t="s">
        <v>468</v>
      </c>
      <c r="H464" s="242"/>
      <c r="I464" s="242">
        <v>4</v>
      </c>
      <c r="J464" s="262">
        <v>42</v>
      </c>
      <c r="K464" s="312">
        <v>45809.29</v>
      </c>
      <c r="L464" s="263">
        <f t="shared" si="7"/>
        <v>1923990.18</v>
      </c>
    </row>
    <row r="465" spans="1:12" ht="15.75" x14ac:dyDescent="0.25">
      <c r="A465" s="7"/>
      <c r="B465" s="245">
        <v>45292</v>
      </c>
      <c r="C465" s="245">
        <v>45292</v>
      </c>
      <c r="D465" s="269">
        <v>15738</v>
      </c>
      <c r="E465" s="251" t="s">
        <v>885</v>
      </c>
      <c r="F465" s="242" t="s">
        <v>467</v>
      </c>
      <c r="G465" s="242" t="s">
        <v>468</v>
      </c>
      <c r="H465" s="242"/>
      <c r="I465" s="242">
        <v>0</v>
      </c>
      <c r="J465" s="262">
        <v>9</v>
      </c>
      <c r="K465" s="311">
        <v>45809.29</v>
      </c>
      <c r="L465" s="263">
        <f t="shared" si="7"/>
        <v>412283.61</v>
      </c>
    </row>
    <row r="466" spans="1:12" ht="15.75" x14ac:dyDescent="0.25">
      <c r="A466" s="7"/>
      <c r="B466" s="245">
        <v>45292</v>
      </c>
      <c r="C466" s="245">
        <v>45292</v>
      </c>
      <c r="D466" s="269">
        <v>15732</v>
      </c>
      <c r="E466" s="251" t="s">
        <v>886</v>
      </c>
      <c r="F466" s="242" t="s">
        <v>467</v>
      </c>
      <c r="G466" s="242" t="s">
        <v>468</v>
      </c>
      <c r="H466" s="242"/>
      <c r="I466" s="242">
        <v>0</v>
      </c>
      <c r="J466" s="262">
        <v>8</v>
      </c>
      <c r="K466" s="312">
        <v>36811.050000000003</v>
      </c>
      <c r="L466" s="263">
        <f t="shared" si="7"/>
        <v>294488.40000000002</v>
      </c>
    </row>
    <row r="467" spans="1:12" ht="15.75" x14ac:dyDescent="0.25">
      <c r="A467" s="7"/>
      <c r="B467" s="245">
        <v>45292</v>
      </c>
      <c r="C467" s="245">
        <v>45292</v>
      </c>
      <c r="D467" s="269">
        <v>15743</v>
      </c>
      <c r="E467" s="251" t="s">
        <v>887</v>
      </c>
      <c r="F467" s="242" t="s">
        <v>467</v>
      </c>
      <c r="G467" s="242" t="s">
        <v>468</v>
      </c>
      <c r="H467" s="242"/>
      <c r="I467" s="242">
        <v>1</v>
      </c>
      <c r="J467" s="262">
        <v>4</v>
      </c>
      <c r="K467" s="313">
        <v>36811.050000000003</v>
      </c>
      <c r="L467" s="263">
        <f t="shared" si="7"/>
        <v>147244.20000000001</v>
      </c>
    </row>
    <row r="468" spans="1:12" ht="15.75" x14ac:dyDescent="0.25">
      <c r="A468" s="7"/>
      <c r="B468" s="245">
        <v>45292</v>
      </c>
      <c r="C468" s="245">
        <v>45292</v>
      </c>
      <c r="D468" s="269">
        <v>15740</v>
      </c>
      <c r="E468" s="251" t="s">
        <v>888</v>
      </c>
      <c r="F468" s="242" t="s">
        <v>467</v>
      </c>
      <c r="G468" s="242" t="s">
        <v>468</v>
      </c>
      <c r="H468" s="242"/>
      <c r="I468" s="242">
        <v>0</v>
      </c>
      <c r="J468" s="262">
        <v>8</v>
      </c>
      <c r="K468" s="312">
        <v>36811.050000000003</v>
      </c>
      <c r="L468" s="263">
        <f t="shared" si="7"/>
        <v>294488.40000000002</v>
      </c>
    </row>
    <row r="469" spans="1:12" ht="15.75" x14ac:dyDescent="0.25">
      <c r="A469" s="7"/>
      <c r="B469" s="245">
        <v>45292</v>
      </c>
      <c r="C469" s="245">
        <v>45292</v>
      </c>
      <c r="D469" s="269">
        <v>15741</v>
      </c>
      <c r="E469" s="251" t="s">
        <v>889</v>
      </c>
      <c r="F469" s="242" t="s">
        <v>467</v>
      </c>
      <c r="G469" s="242" t="s">
        <v>468</v>
      </c>
      <c r="H469" s="242"/>
      <c r="I469" s="242">
        <v>0</v>
      </c>
      <c r="J469" s="262">
        <v>19</v>
      </c>
      <c r="K469" s="313">
        <v>36811.050000000003</v>
      </c>
      <c r="L469" s="263">
        <f t="shared" si="7"/>
        <v>699409.95000000007</v>
      </c>
    </row>
    <row r="470" spans="1:12" ht="15.75" x14ac:dyDescent="0.25">
      <c r="A470" s="7"/>
      <c r="B470" s="245">
        <v>45292</v>
      </c>
      <c r="C470" s="245">
        <v>45292</v>
      </c>
      <c r="D470" s="269">
        <v>6065</v>
      </c>
      <c r="E470" s="251" t="s">
        <v>890</v>
      </c>
      <c r="F470" s="242" t="s">
        <v>467</v>
      </c>
      <c r="G470" s="242" t="s">
        <v>468</v>
      </c>
      <c r="H470" s="242"/>
      <c r="I470" s="242">
        <v>0</v>
      </c>
      <c r="J470" s="262">
        <v>4</v>
      </c>
      <c r="K470" s="312">
        <v>10553.92</v>
      </c>
      <c r="L470" s="263">
        <f t="shared" si="7"/>
        <v>42215.68</v>
      </c>
    </row>
    <row r="471" spans="1:12" ht="15.75" x14ac:dyDescent="0.25">
      <c r="A471" s="7"/>
      <c r="B471" s="245">
        <v>45292</v>
      </c>
      <c r="C471" s="245">
        <v>45292</v>
      </c>
      <c r="D471" s="269">
        <v>6047</v>
      </c>
      <c r="E471" s="251" t="s">
        <v>891</v>
      </c>
      <c r="F471" s="242" t="s">
        <v>467</v>
      </c>
      <c r="G471" s="242" t="s">
        <v>468</v>
      </c>
      <c r="H471" s="242"/>
      <c r="I471" s="242">
        <v>10</v>
      </c>
      <c r="J471" s="262">
        <v>9</v>
      </c>
      <c r="K471" s="311">
        <v>15186</v>
      </c>
      <c r="L471" s="263">
        <f t="shared" si="7"/>
        <v>136674</v>
      </c>
    </row>
    <row r="472" spans="1:12" ht="15.75" x14ac:dyDescent="0.25">
      <c r="A472" s="7"/>
      <c r="B472" s="245">
        <v>45292</v>
      </c>
      <c r="C472" s="245">
        <v>45292</v>
      </c>
      <c r="D472" s="269">
        <v>6067</v>
      </c>
      <c r="E472" s="251" t="s">
        <v>892</v>
      </c>
      <c r="F472" s="242" t="s">
        <v>467</v>
      </c>
      <c r="G472" s="242" t="s">
        <v>468</v>
      </c>
      <c r="H472" s="242"/>
      <c r="I472" s="242">
        <v>0</v>
      </c>
      <c r="J472" s="262">
        <v>5</v>
      </c>
      <c r="K472" s="311">
        <v>8600</v>
      </c>
      <c r="L472" s="263">
        <f t="shared" si="7"/>
        <v>43000</v>
      </c>
    </row>
    <row r="473" spans="1:12" ht="15.75" x14ac:dyDescent="0.25">
      <c r="A473" s="7"/>
      <c r="B473" s="245">
        <v>45292</v>
      </c>
      <c r="C473" s="245">
        <v>45292</v>
      </c>
      <c r="D473" s="269">
        <v>4061</v>
      </c>
      <c r="E473" s="251" t="s">
        <v>893</v>
      </c>
      <c r="F473" s="242" t="s">
        <v>467</v>
      </c>
      <c r="G473" s="242" t="s">
        <v>468</v>
      </c>
      <c r="H473" s="242"/>
      <c r="I473" s="242">
        <v>0</v>
      </c>
      <c r="J473" s="262">
        <v>4</v>
      </c>
      <c r="K473" s="311">
        <v>10553.22</v>
      </c>
      <c r="L473" s="263">
        <f t="shared" si="7"/>
        <v>42212.88</v>
      </c>
    </row>
    <row r="474" spans="1:12" ht="15.75" x14ac:dyDescent="0.25">
      <c r="A474" s="7"/>
      <c r="B474" s="245">
        <v>45292</v>
      </c>
      <c r="C474" s="245">
        <v>45292</v>
      </c>
      <c r="D474" s="269">
        <v>10062</v>
      </c>
      <c r="E474" s="251" t="s">
        <v>894</v>
      </c>
      <c r="F474" s="242" t="s">
        <v>467</v>
      </c>
      <c r="G474" s="242" t="s">
        <v>468</v>
      </c>
      <c r="H474" s="242"/>
      <c r="I474" s="242">
        <v>0</v>
      </c>
      <c r="J474" s="262">
        <v>2</v>
      </c>
      <c r="K474" s="311">
        <v>10553.92</v>
      </c>
      <c r="L474" s="263">
        <f t="shared" si="7"/>
        <v>21107.84</v>
      </c>
    </row>
    <row r="475" spans="1:12" ht="15.75" x14ac:dyDescent="0.25">
      <c r="A475" s="7"/>
      <c r="B475" s="245">
        <v>45292</v>
      </c>
      <c r="C475" s="245">
        <v>45292</v>
      </c>
      <c r="D475" s="269">
        <v>1280</v>
      </c>
      <c r="E475" s="251" t="s">
        <v>967</v>
      </c>
      <c r="F475" s="242" t="s">
        <v>470</v>
      </c>
      <c r="G475" s="242" t="s">
        <v>474</v>
      </c>
      <c r="H475" s="242"/>
      <c r="I475" s="242">
        <v>0</v>
      </c>
      <c r="J475" s="262">
        <v>150</v>
      </c>
      <c r="K475" s="311">
        <v>39.549999999999997</v>
      </c>
      <c r="L475" s="263">
        <f t="shared" si="7"/>
        <v>5932.5</v>
      </c>
    </row>
    <row r="476" spans="1:12" ht="15.75" x14ac:dyDescent="0.25">
      <c r="A476" s="7"/>
      <c r="B476" s="245">
        <v>45292</v>
      </c>
      <c r="C476" s="245">
        <v>45292</v>
      </c>
      <c r="D476" s="269">
        <v>1217</v>
      </c>
      <c r="E476" s="251" t="s">
        <v>896</v>
      </c>
      <c r="F476" s="242" t="s">
        <v>467</v>
      </c>
      <c r="G476" s="242" t="s">
        <v>468</v>
      </c>
      <c r="H476" s="242"/>
      <c r="I476" s="242">
        <v>0</v>
      </c>
      <c r="J476" s="262">
        <v>12</v>
      </c>
      <c r="K476" s="311">
        <v>827.96</v>
      </c>
      <c r="L476" s="263">
        <f t="shared" si="7"/>
        <v>9935.52</v>
      </c>
    </row>
    <row r="477" spans="1:12" ht="15.75" x14ac:dyDescent="0.25">
      <c r="A477" s="7"/>
      <c r="B477" s="245">
        <v>45292</v>
      </c>
      <c r="C477" s="245">
        <v>45292</v>
      </c>
      <c r="D477" s="269">
        <v>1285</v>
      </c>
      <c r="E477" s="251" t="s">
        <v>969</v>
      </c>
      <c r="F477" s="242" t="s">
        <v>470</v>
      </c>
      <c r="G477" s="242" t="s">
        <v>474</v>
      </c>
      <c r="H477" s="242"/>
      <c r="I477" s="242">
        <v>50</v>
      </c>
      <c r="J477" s="262">
        <v>100</v>
      </c>
      <c r="K477" s="311">
        <v>100</v>
      </c>
      <c r="L477" s="263">
        <f t="shared" si="7"/>
        <v>10000</v>
      </c>
    </row>
    <row r="478" spans="1:12" ht="15.75" x14ac:dyDescent="0.25">
      <c r="A478" s="7"/>
      <c r="B478" s="245">
        <v>45292</v>
      </c>
      <c r="C478" s="245">
        <v>45292</v>
      </c>
      <c r="D478" s="269">
        <v>20305</v>
      </c>
      <c r="E478" s="251" t="s">
        <v>898</v>
      </c>
      <c r="F478" s="242" t="s">
        <v>467</v>
      </c>
      <c r="G478" s="242" t="s">
        <v>468</v>
      </c>
      <c r="H478" s="242"/>
      <c r="I478" s="242">
        <v>0</v>
      </c>
      <c r="J478" s="262">
        <v>56</v>
      </c>
      <c r="K478" s="311">
        <v>2419.1999999999998</v>
      </c>
      <c r="L478" s="263">
        <f t="shared" si="7"/>
        <v>135475.19999999998</v>
      </c>
    </row>
    <row r="479" spans="1:12" ht="15.75" x14ac:dyDescent="0.25">
      <c r="A479" s="7"/>
      <c r="B479" s="245">
        <v>45292</v>
      </c>
      <c r="C479" s="245">
        <v>45292</v>
      </c>
      <c r="D479" s="269">
        <v>1366</v>
      </c>
      <c r="E479" s="251" t="s">
        <v>970</v>
      </c>
      <c r="F479" s="242" t="s">
        <v>470</v>
      </c>
      <c r="G479" s="242" t="s">
        <v>468</v>
      </c>
      <c r="H479" s="242"/>
      <c r="I479" s="242">
        <v>11</v>
      </c>
      <c r="J479" s="262">
        <v>129</v>
      </c>
      <c r="K479" s="311">
        <v>1100</v>
      </c>
      <c r="L479" s="263">
        <f t="shared" si="7"/>
        <v>141900</v>
      </c>
    </row>
    <row r="480" spans="1:12" ht="15.75" x14ac:dyDescent="0.25">
      <c r="A480" s="7"/>
      <c r="B480" s="245">
        <v>45292</v>
      </c>
      <c r="C480" s="245">
        <v>45292</v>
      </c>
      <c r="D480" s="269">
        <v>1219</v>
      </c>
      <c r="E480" s="251" t="s">
        <v>899</v>
      </c>
      <c r="F480" s="242" t="s">
        <v>467</v>
      </c>
      <c r="G480" s="242" t="s">
        <v>468</v>
      </c>
      <c r="H480" s="242"/>
      <c r="I480" s="242">
        <v>0</v>
      </c>
      <c r="J480" s="262">
        <v>12</v>
      </c>
      <c r="K480" s="311">
        <v>5555.55</v>
      </c>
      <c r="L480" s="263">
        <f t="shared" si="7"/>
        <v>66666.600000000006</v>
      </c>
    </row>
    <row r="481" spans="1:12" ht="15.75" x14ac:dyDescent="0.25">
      <c r="A481" s="7"/>
      <c r="B481" s="245">
        <v>45292</v>
      </c>
      <c r="C481" s="245">
        <v>45292</v>
      </c>
      <c r="D481" s="269">
        <v>2287</v>
      </c>
      <c r="E481" s="251" t="s">
        <v>2389</v>
      </c>
      <c r="F481" s="242" t="s">
        <v>467</v>
      </c>
      <c r="G481" s="242" t="s">
        <v>468</v>
      </c>
      <c r="H481" s="242"/>
      <c r="I481" s="242">
        <v>0</v>
      </c>
      <c r="J481" s="262">
        <v>65</v>
      </c>
      <c r="K481" s="311">
        <v>1622.5</v>
      </c>
      <c r="L481" s="263">
        <f t="shared" si="7"/>
        <v>105462.5</v>
      </c>
    </row>
    <row r="482" spans="1:12" ht="15.75" x14ac:dyDescent="0.25">
      <c r="A482" s="7"/>
      <c r="B482" s="245">
        <v>45292</v>
      </c>
      <c r="C482" s="245">
        <v>45292</v>
      </c>
      <c r="D482" s="269">
        <v>4849</v>
      </c>
      <c r="E482" s="251" t="s">
        <v>900</v>
      </c>
      <c r="F482" s="242" t="s">
        <v>467</v>
      </c>
      <c r="G482" s="242" t="s">
        <v>468</v>
      </c>
      <c r="H482" s="242"/>
      <c r="I482" s="242">
        <v>0</v>
      </c>
      <c r="J482" s="262">
        <v>2</v>
      </c>
      <c r="K482" s="312">
        <v>1593</v>
      </c>
      <c r="L482" s="263">
        <f t="shared" si="7"/>
        <v>3186</v>
      </c>
    </row>
    <row r="483" spans="1:12" ht="15.75" x14ac:dyDescent="0.25">
      <c r="A483" s="7"/>
      <c r="B483" s="245">
        <v>45292</v>
      </c>
      <c r="C483" s="245">
        <v>45292</v>
      </c>
      <c r="D483" s="269">
        <v>1220</v>
      </c>
      <c r="E483" s="251" t="s">
        <v>903</v>
      </c>
      <c r="F483" s="242" t="s">
        <v>467</v>
      </c>
      <c r="G483" s="242" t="s">
        <v>468</v>
      </c>
      <c r="H483" s="242"/>
      <c r="I483" s="242">
        <v>0</v>
      </c>
      <c r="J483" s="262">
        <v>3</v>
      </c>
      <c r="K483" s="312">
        <v>1260</v>
      </c>
      <c r="L483" s="263">
        <f t="shared" si="7"/>
        <v>3780</v>
      </c>
    </row>
    <row r="484" spans="1:12" ht="15.75" x14ac:dyDescent="0.25">
      <c r="A484" s="7"/>
      <c r="B484" s="245">
        <v>45292</v>
      </c>
      <c r="C484" s="245">
        <v>45292</v>
      </c>
      <c r="D484" s="269">
        <v>18859</v>
      </c>
      <c r="E484" s="251" t="s">
        <v>905</v>
      </c>
      <c r="F484" s="242" t="s">
        <v>467</v>
      </c>
      <c r="G484" s="242" t="s">
        <v>468</v>
      </c>
      <c r="H484" s="242">
        <v>4000</v>
      </c>
      <c r="I484" s="242">
        <v>1700</v>
      </c>
      <c r="J484" s="262">
        <v>3100</v>
      </c>
      <c r="K484" s="312">
        <v>53.1</v>
      </c>
      <c r="L484" s="263">
        <f t="shared" si="7"/>
        <v>164610</v>
      </c>
    </row>
    <row r="485" spans="1:12" ht="15.75" x14ac:dyDescent="0.25">
      <c r="A485" s="7"/>
      <c r="B485" s="245">
        <v>45292</v>
      </c>
      <c r="C485" s="245">
        <v>45292</v>
      </c>
      <c r="D485" s="269">
        <v>1226</v>
      </c>
      <c r="E485" s="251" t="s">
        <v>908</v>
      </c>
      <c r="F485" s="242" t="s">
        <v>467</v>
      </c>
      <c r="G485" s="242" t="s">
        <v>468</v>
      </c>
      <c r="H485" s="242"/>
      <c r="I485" s="242">
        <v>3</v>
      </c>
      <c r="J485" s="262">
        <v>10</v>
      </c>
      <c r="K485" s="312">
        <v>3102.92</v>
      </c>
      <c r="L485" s="263">
        <f t="shared" si="7"/>
        <v>31029.200000000001</v>
      </c>
    </row>
    <row r="486" spans="1:12" ht="15.75" x14ac:dyDescent="0.25">
      <c r="A486" s="7"/>
      <c r="B486" s="245">
        <v>45292</v>
      </c>
      <c r="C486" s="245">
        <v>45292</v>
      </c>
      <c r="D486" s="269">
        <v>6094</v>
      </c>
      <c r="E486" s="251" t="s">
        <v>910</v>
      </c>
      <c r="F486" s="242" t="s">
        <v>467</v>
      </c>
      <c r="G486" s="242" t="s">
        <v>468</v>
      </c>
      <c r="H486" s="242">
        <f>106+80</f>
        <v>186</v>
      </c>
      <c r="I486" s="242">
        <v>44</v>
      </c>
      <c r="J486" s="262">
        <v>178</v>
      </c>
      <c r="K486" s="312">
        <v>696.2</v>
      </c>
      <c r="L486" s="263">
        <f t="shared" si="7"/>
        <v>123923.6</v>
      </c>
    </row>
    <row r="487" spans="1:12" ht="15.75" x14ac:dyDescent="0.25">
      <c r="A487" s="7"/>
      <c r="B487" s="245">
        <v>45292</v>
      </c>
      <c r="C487" s="245">
        <v>45292</v>
      </c>
      <c r="D487" s="269">
        <v>1459</v>
      </c>
      <c r="E487" s="251" t="s">
        <v>911</v>
      </c>
      <c r="F487" s="242" t="s">
        <v>467</v>
      </c>
      <c r="G487" s="242" t="s">
        <v>468</v>
      </c>
      <c r="H487" s="242"/>
      <c r="I487" s="242">
        <v>0</v>
      </c>
      <c r="J487" s="262">
        <v>21</v>
      </c>
      <c r="K487" s="311">
        <v>3245</v>
      </c>
      <c r="L487" s="263">
        <f t="shared" si="7"/>
        <v>68145</v>
      </c>
    </row>
    <row r="488" spans="1:12" ht="15.75" x14ac:dyDescent="0.25">
      <c r="A488" s="7"/>
      <c r="B488" s="245">
        <v>45292</v>
      </c>
      <c r="C488" s="245">
        <v>45292</v>
      </c>
      <c r="D488" s="269">
        <v>15733</v>
      </c>
      <c r="E488" s="251" t="s">
        <v>1987</v>
      </c>
      <c r="F488" s="242" t="s">
        <v>467</v>
      </c>
      <c r="G488" s="242" t="s">
        <v>468</v>
      </c>
      <c r="H488" s="242"/>
      <c r="I488" s="242">
        <v>6</v>
      </c>
      <c r="J488" s="262">
        <v>45</v>
      </c>
      <c r="K488" s="311">
        <v>11235.18</v>
      </c>
      <c r="L488" s="263">
        <f t="shared" si="7"/>
        <v>505583.10000000003</v>
      </c>
    </row>
    <row r="489" spans="1:12" ht="15.75" x14ac:dyDescent="0.25">
      <c r="A489" s="7"/>
      <c r="B489" s="245">
        <v>45292</v>
      </c>
      <c r="C489" s="245">
        <v>45292</v>
      </c>
      <c r="D489" s="269">
        <v>927</v>
      </c>
      <c r="E489" s="251" t="s">
        <v>920</v>
      </c>
      <c r="F489" s="242" t="s">
        <v>467</v>
      </c>
      <c r="G489" s="242" t="s">
        <v>480</v>
      </c>
      <c r="H489" s="242"/>
      <c r="I489" s="242">
        <v>36</v>
      </c>
      <c r="J489" s="262">
        <v>24</v>
      </c>
      <c r="K489" s="312">
        <v>34.729999999999997</v>
      </c>
      <c r="L489" s="263">
        <f t="shared" si="7"/>
        <v>833.52</v>
      </c>
    </row>
    <row r="490" spans="1:12" ht="15.75" x14ac:dyDescent="0.25">
      <c r="A490" s="7"/>
      <c r="B490" s="245">
        <v>45292</v>
      </c>
      <c r="C490" s="245">
        <v>45292</v>
      </c>
      <c r="D490" s="269">
        <v>1234</v>
      </c>
      <c r="E490" s="251" t="s">
        <v>926</v>
      </c>
      <c r="F490" s="242" t="s">
        <v>467</v>
      </c>
      <c r="G490" s="242" t="s">
        <v>468</v>
      </c>
      <c r="H490" s="242"/>
      <c r="I490" s="242">
        <v>0</v>
      </c>
      <c r="J490" s="262">
        <v>70</v>
      </c>
      <c r="K490" s="312">
        <v>200.6</v>
      </c>
      <c r="L490" s="263">
        <f t="shared" si="7"/>
        <v>14042</v>
      </c>
    </row>
    <row r="491" spans="1:12" ht="15.75" x14ac:dyDescent="0.25">
      <c r="A491" s="7"/>
      <c r="B491" s="245">
        <v>45292</v>
      </c>
      <c r="C491" s="245">
        <v>45292</v>
      </c>
      <c r="D491" s="269">
        <v>1236</v>
      </c>
      <c r="E491" s="251" t="s">
        <v>927</v>
      </c>
      <c r="F491" s="242" t="s">
        <v>467</v>
      </c>
      <c r="G491" s="242" t="s">
        <v>468</v>
      </c>
      <c r="H491" s="242"/>
      <c r="I491" s="242">
        <v>20</v>
      </c>
      <c r="J491" s="262">
        <v>304</v>
      </c>
      <c r="K491" s="311">
        <v>40.119999999999997</v>
      </c>
      <c r="L491" s="263">
        <f t="shared" si="7"/>
        <v>12196.48</v>
      </c>
    </row>
    <row r="492" spans="1:12" ht="15.75" x14ac:dyDescent="0.25">
      <c r="A492" s="7"/>
      <c r="B492" s="245">
        <v>45292</v>
      </c>
      <c r="C492" s="245">
        <v>45292</v>
      </c>
      <c r="D492" s="269">
        <v>1238</v>
      </c>
      <c r="E492" s="251" t="s">
        <v>928</v>
      </c>
      <c r="F492" s="242" t="s">
        <v>467</v>
      </c>
      <c r="G492" s="242" t="s">
        <v>468</v>
      </c>
      <c r="H492" s="242"/>
      <c r="I492" s="242">
        <v>0</v>
      </c>
      <c r="J492" s="262">
        <v>140</v>
      </c>
      <c r="K492" s="311">
        <v>34.93</v>
      </c>
      <c r="L492" s="263">
        <f t="shared" si="7"/>
        <v>4890.2</v>
      </c>
    </row>
    <row r="493" spans="1:12" ht="15.75" x14ac:dyDescent="0.25">
      <c r="A493" s="7"/>
      <c r="B493" s="245">
        <v>45292</v>
      </c>
      <c r="C493" s="245">
        <v>45292</v>
      </c>
      <c r="D493" s="269">
        <v>1237</v>
      </c>
      <c r="E493" s="251" t="s">
        <v>929</v>
      </c>
      <c r="F493" s="242" t="s">
        <v>467</v>
      </c>
      <c r="G493" s="242" t="s">
        <v>468</v>
      </c>
      <c r="H493" s="242"/>
      <c r="I493" s="242">
        <v>0</v>
      </c>
      <c r="J493" s="262">
        <v>10</v>
      </c>
      <c r="K493" s="312">
        <v>24.78</v>
      </c>
      <c r="L493" s="263">
        <f t="shared" si="7"/>
        <v>247.8</v>
      </c>
    </row>
    <row r="494" spans="1:12" ht="15.75" x14ac:dyDescent="0.25">
      <c r="A494" s="7"/>
      <c r="B494" s="245">
        <v>45292</v>
      </c>
      <c r="C494" s="245">
        <v>45292</v>
      </c>
      <c r="D494" s="269">
        <v>6130</v>
      </c>
      <c r="E494" s="251" t="s">
        <v>930</v>
      </c>
      <c r="F494" s="242" t="s">
        <v>467</v>
      </c>
      <c r="G494" s="242" t="s">
        <v>468</v>
      </c>
      <c r="H494" s="242"/>
      <c r="I494" s="242">
        <v>0</v>
      </c>
      <c r="J494" s="262">
        <v>30</v>
      </c>
      <c r="K494" s="312">
        <v>38.75</v>
      </c>
      <c r="L494" s="263">
        <f t="shared" si="7"/>
        <v>1162.5</v>
      </c>
    </row>
    <row r="495" spans="1:12" ht="15.75" x14ac:dyDescent="0.25">
      <c r="A495" s="7"/>
      <c r="B495" s="245">
        <v>45292</v>
      </c>
      <c r="C495" s="245">
        <v>45292</v>
      </c>
      <c r="D495" s="269">
        <v>1239</v>
      </c>
      <c r="E495" s="251" t="s">
        <v>931</v>
      </c>
      <c r="F495" s="242" t="s">
        <v>467</v>
      </c>
      <c r="G495" s="242" t="s">
        <v>468</v>
      </c>
      <c r="H495" s="242"/>
      <c r="I495" s="242">
        <v>20</v>
      </c>
      <c r="J495" s="262">
        <v>110</v>
      </c>
      <c r="K495" s="311">
        <v>536.76</v>
      </c>
      <c r="L495" s="263">
        <f t="shared" si="7"/>
        <v>59043.6</v>
      </c>
    </row>
    <row r="496" spans="1:12" ht="15.75" x14ac:dyDescent="0.25">
      <c r="A496" s="7"/>
      <c r="B496" s="245">
        <v>45292</v>
      </c>
      <c r="C496" s="245">
        <v>45292</v>
      </c>
      <c r="D496" s="269">
        <v>1463</v>
      </c>
      <c r="E496" s="251" t="s">
        <v>932</v>
      </c>
      <c r="F496" s="242" t="s">
        <v>467</v>
      </c>
      <c r="G496" s="242" t="s">
        <v>468</v>
      </c>
      <c r="H496" s="242"/>
      <c r="I496" s="242">
        <v>0</v>
      </c>
      <c r="J496" s="262">
        <v>12</v>
      </c>
      <c r="K496" s="311">
        <v>1309.32</v>
      </c>
      <c r="L496" s="263">
        <f t="shared" si="7"/>
        <v>15711.84</v>
      </c>
    </row>
    <row r="497" spans="1:12" ht="15.75" x14ac:dyDescent="0.25">
      <c r="A497" s="7"/>
      <c r="B497" s="245">
        <v>45292</v>
      </c>
      <c r="C497" s="245">
        <v>45292</v>
      </c>
      <c r="D497" s="269">
        <v>1373</v>
      </c>
      <c r="E497" s="251" t="s">
        <v>934</v>
      </c>
      <c r="F497" s="242" t="s">
        <v>467</v>
      </c>
      <c r="G497" s="242" t="s">
        <v>643</v>
      </c>
      <c r="H497" s="242"/>
      <c r="I497" s="242">
        <v>30</v>
      </c>
      <c r="J497" s="262">
        <v>30</v>
      </c>
      <c r="K497" s="311">
        <v>400</v>
      </c>
      <c r="L497" s="263">
        <f t="shared" si="7"/>
        <v>12000</v>
      </c>
    </row>
    <row r="498" spans="1:12" ht="15.75" x14ac:dyDescent="0.25">
      <c r="A498" s="7"/>
      <c r="B498" s="245">
        <v>45292</v>
      </c>
      <c r="C498" s="245">
        <v>45292</v>
      </c>
      <c r="D498" s="269">
        <v>21617</v>
      </c>
      <c r="E498" s="251" t="s">
        <v>897</v>
      </c>
      <c r="F498" s="242" t="s">
        <v>502</v>
      </c>
      <c r="G498" s="242" t="s">
        <v>474</v>
      </c>
      <c r="H498" s="242"/>
      <c r="I498" s="242">
        <v>20</v>
      </c>
      <c r="J498" s="262">
        <v>100</v>
      </c>
      <c r="K498" s="311">
        <v>1450</v>
      </c>
      <c r="L498" s="263">
        <f t="shared" si="7"/>
        <v>145000</v>
      </c>
    </row>
    <row r="499" spans="1:12" ht="15.75" x14ac:dyDescent="0.25">
      <c r="A499" s="7"/>
      <c r="B499" s="245">
        <v>45292</v>
      </c>
      <c r="C499" s="245">
        <v>45292</v>
      </c>
      <c r="D499" s="269">
        <v>10061</v>
      </c>
      <c r="E499" s="251" t="s">
        <v>935</v>
      </c>
      <c r="F499" s="242" t="s">
        <v>467</v>
      </c>
      <c r="G499" s="242" t="s">
        <v>468</v>
      </c>
      <c r="H499" s="242"/>
      <c r="I499" s="242">
        <v>50</v>
      </c>
      <c r="J499" s="262">
        <v>200</v>
      </c>
      <c r="K499" s="314">
        <v>527.46</v>
      </c>
      <c r="L499" s="263">
        <f t="shared" si="7"/>
        <v>105492</v>
      </c>
    </row>
    <row r="500" spans="1:12" ht="15.75" x14ac:dyDescent="0.25">
      <c r="A500" s="7"/>
      <c r="B500" s="245">
        <v>45292</v>
      </c>
      <c r="C500" s="245">
        <v>45292</v>
      </c>
      <c r="D500" s="269">
        <v>6113</v>
      </c>
      <c r="E500" s="251" t="s">
        <v>936</v>
      </c>
      <c r="F500" s="242" t="s">
        <v>467</v>
      </c>
      <c r="G500" s="242" t="s">
        <v>468</v>
      </c>
      <c r="H500" s="242"/>
      <c r="I500" s="242">
        <v>20</v>
      </c>
      <c r="J500" s="262">
        <v>84</v>
      </c>
      <c r="K500" s="311">
        <v>85.99</v>
      </c>
      <c r="L500" s="263">
        <f t="shared" si="7"/>
        <v>7223.16</v>
      </c>
    </row>
    <row r="501" spans="1:12" ht="15.75" x14ac:dyDescent="0.25">
      <c r="A501" s="7"/>
      <c r="B501" s="245">
        <v>45292</v>
      </c>
      <c r="C501" s="245">
        <v>45292</v>
      </c>
      <c r="D501" s="269">
        <v>6242</v>
      </c>
      <c r="E501" s="251" t="s">
        <v>937</v>
      </c>
      <c r="F501" s="242" t="s">
        <v>467</v>
      </c>
      <c r="G501" s="242" t="s">
        <v>468</v>
      </c>
      <c r="H501" s="242"/>
      <c r="I501" s="242">
        <v>0</v>
      </c>
      <c r="J501" s="262">
        <v>170</v>
      </c>
      <c r="K501" s="311">
        <v>756.72</v>
      </c>
      <c r="L501" s="263">
        <f t="shared" si="7"/>
        <v>128642.40000000001</v>
      </c>
    </row>
    <row r="502" spans="1:12" ht="15.75" x14ac:dyDescent="0.25">
      <c r="A502" s="7"/>
      <c r="B502" s="245">
        <v>45292</v>
      </c>
      <c r="C502" s="245">
        <v>45292</v>
      </c>
      <c r="D502" s="269">
        <v>1381</v>
      </c>
      <c r="E502" s="251" t="s">
        <v>940</v>
      </c>
      <c r="F502" s="242" t="s">
        <v>467</v>
      </c>
      <c r="G502" s="242" t="s">
        <v>468</v>
      </c>
      <c r="H502" s="242"/>
      <c r="I502" s="242">
        <v>0</v>
      </c>
      <c r="J502" s="262">
        <v>480</v>
      </c>
      <c r="K502" s="311">
        <v>22.22</v>
      </c>
      <c r="L502" s="263">
        <f t="shared" si="7"/>
        <v>10665.599999999999</v>
      </c>
    </row>
    <row r="503" spans="1:12" ht="15.75" x14ac:dyDescent="0.25">
      <c r="A503" s="7"/>
      <c r="B503" s="245">
        <v>45292</v>
      </c>
      <c r="C503" s="245">
        <v>45292</v>
      </c>
      <c r="D503" s="269">
        <v>5151</v>
      </c>
      <c r="E503" s="251" t="s">
        <v>941</v>
      </c>
      <c r="F503" s="242" t="s">
        <v>467</v>
      </c>
      <c r="G503" s="242" t="s">
        <v>468</v>
      </c>
      <c r="H503" s="242"/>
      <c r="I503" s="242">
        <v>0</v>
      </c>
      <c r="J503" s="262">
        <v>5040</v>
      </c>
      <c r="K503" s="311">
        <v>10</v>
      </c>
      <c r="L503" s="263">
        <f t="shared" si="7"/>
        <v>50400</v>
      </c>
    </row>
    <row r="504" spans="1:12" ht="15.75" x14ac:dyDescent="0.25">
      <c r="A504" s="7"/>
      <c r="B504" s="245">
        <v>45292</v>
      </c>
      <c r="C504" s="245">
        <v>45292</v>
      </c>
      <c r="D504" s="269">
        <v>20818</v>
      </c>
      <c r="E504" s="251" t="s">
        <v>942</v>
      </c>
      <c r="F504" s="242" t="s">
        <v>467</v>
      </c>
      <c r="G504" s="242" t="s">
        <v>468</v>
      </c>
      <c r="H504" s="242"/>
      <c r="I504" s="242">
        <v>200</v>
      </c>
      <c r="J504" s="262">
        <v>1650</v>
      </c>
      <c r="K504" s="314">
        <v>24.5</v>
      </c>
      <c r="L504" s="263">
        <f t="shared" si="7"/>
        <v>40425</v>
      </c>
    </row>
    <row r="505" spans="1:12" ht="15.75" x14ac:dyDescent="0.25">
      <c r="A505" s="7"/>
      <c r="B505" s="245">
        <v>45292</v>
      </c>
      <c r="C505" s="245">
        <v>45292</v>
      </c>
      <c r="D505" s="269">
        <v>1398</v>
      </c>
      <c r="E505" s="251" t="s">
        <v>947</v>
      </c>
      <c r="F505" s="242" t="s">
        <v>467</v>
      </c>
      <c r="G505" s="242" t="s">
        <v>692</v>
      </c>
      <c r="H505" s="242"/>
      <c r="I505" s="242">
        <v>0</v>
      </c>
      <c r="J505" s="262">
        <v>95</v>
      </c>
      <c r="K505" s="311">
        <v>200.98</v>
      </c>
      <c r="L505" s="263">
        <f t="shared" si="7"/>
        <v>19093.099999999999</v>
      </c>
    </row>
    <row r="506" spans="1:12" ht="15.75" x14ac:dyDescent="0.25">
      <c r="A506" s="7"/>
      <c r="B506" s="245">
        <v>45292</v>
      </c>
      <c r="C506" s="245">
        <v>45292</v>
      </c>
      <c r="D506" s="269">
        <v>11194</v>
      </c>
      <c r="E506" s="251" t="s">
        <v>948</v>
      </c>
      <c r="F506" s="242" t="s">
        <v>467</v>
      </c>
      <c r="G506" s="242" t="s">
        <v>468</v>
      </c>
      <c r="H506" s="242"/>
      <c r="I506" s="242">
        <v>0</v>
      </c>
      <c r="J506" s="262">
        <v>7</v>
      </c>
      <c r="K506" s="312">
        <v>8572.57</v>
      </c>
      <c r="L506" s="263">
        <f t="shared" si="7"/>
        <v>60007.99</v>
      </c>
    </row>
    <row r="507" spans="1:12" ht="15.75" x14ac:dyDescent="0.25">
      <c r="A507" s="7"/>
      <c r="B507" s="245">
        <v>45292</v>
      </c>
      <c r="C507" s="245">
        <v>45292</v>
      </c>
      <c r="D507" s="269">
        <v>1262</v>
      </c>
      <c r="E507" s="251" t="s">
        <v>949</v>
      </c>
      <c r="F507" s="242" t="s">
        <v>467</v>
      </c>
      <c r="G507" s="242" t="s">
        <v>468</v>
      </c>
      <c r="H507" s="242"/>
      <c r="I507" s="242">
        <v>10</v>
      </c>
      <c r="J507" s="262">
        <v>14</v>
      </c>
      <c r="K507" s="312">
        <v>45</v>
      </c>
      <c r="L507" s="263">
        <f t="shared" si="7"/>
        <v>630</v>
      </c>
    </row>
    <row r="508" spans="1:12" ht="15.75" x14ac:dyDescent="0.25">
      <c r="A508" s="7"/>
      <c r="B508" s="245">
        <v>45292</v>
      </c>
      <c r="C508" s="245">
        <v>45292</v>
      </c>
      <c r="D508" s="269">
        <v>5612</v>
      </c>
      <c r="E508" s="251" t="s">
        <v>914</v>
      </c>
      <c r="F508" s="242" t="s">
        <v>469</v>
      </c>
      <c r="G508" s="242" t="s">
        <v>468</v>
      </c>
      <c r="H508" s="242"/>
      <c r="I508" s="242">
        <v>0</v>
      </c>
      <c r="J508" s="262">
        <v>1</v>
      </c>
      <c r="K508" s="312">
        <v>7800</v>
      </c>
      <c r="L508" s="263">
        <f t="shared" si="7"/>
        <v>7800</v>
      </c>
    </row>
    <row r="509" spans="1:12" ht="15.75" x14ac:dyDescent="0.25">
      <c r="A509" s="7"/>
      <c r="B509" s="245">
        <v>45292</v>
      </c>
      <c r="C509" s="245">
        <v>45292</v>
      </c>
      <c r="D509" s="269">
        <v>7471</v>
      </c>
      <c r="E509" s="251" t="s">
        <v>915</v>
      </c>
      <c r="F509" s="242" t="s">
        <v>469</v>
      </c>
      <c r="G509" s="242" t="s">
        <v>468</v>
      </c>
      <c r="H509" s="242"/>
      <c r="I509" s="242">
        <v>0</v>
      </c>
      <c r="J509" s="262">
        <v>9</v>
      </c>
      <c r="K509" s="311">
        <v>12000</v>
      </c>
      <c r="L509" s="263">
        <f t="shared" si="7"/>
        <v>108000</v>
      </c>
    </row>
    <row r="510" spans="1:12" ht="15.75" x14ac:dyDescent="0.25">
      <c r="A510" s="7"/>
      <c r="B510" s="245">
        <v>45292</v>
      </c>
      <c r="C510" s="245">
        <v>45292</v>
      </c>
      <c r="D510" s="269">
        <v>1362</v>
      </c>
      <c r="E510" s="251" t="s">
        <v>916</v>
      </c>
      <c r="F510" s="242" t="s">
        <v>469</v>
      </c>
      <c r="G510" s="242" t="s">
        <v>468</v>
      </c>
      <c r="H510" s="242"/>
      <c r="I510" s="242">
        <v>0</v>
      </c>
      <c r="J510" s="262">
        <v>180</v>
      </c>
      <c r="K510" s="311">
        <v>69.3</v>
      </c>
      <c r="L510" s="263">
        <f t="shared" si="7"/>
        <v>12474</v>
      </c>
    </row>
    <row r="511" spans="1:12" ht="15.75" x14ac:dyDescent="0.25">
      <c r="A511" s="7"/>
      <c r="B511" s="245">
        <v>45309</v>
      </c>
      <c r="C511" s="245">
        <v>45309</v>
      </c>
      <c r="D511" s="269">
        <v>1339</v>
      </c>
      <c r="E511" s="251" t="s">
        <v>2526</v>
      </c>
      <c r="F511" s="242" t="s">
        <v>469</v>
      </c>
      <c r="G511" s="242" t="s">
        <v>468</v>
      </c>
      <c r="H511" s="242">
        <f>120+120</f>
        <v>240</v>
      </c>
      <c r="I511" s="242">
        <v>36</v>
      </c>
      <c r="J511" s="262">
        <v>204</v>
      </c>
      <c r="K511" s="311">
        <v>84</v>
      </c>
      <c r="L511" s="263">
        <f t="shared" si="7"/>
        <v>17136</v>
      </c>
    </row>
    <row r="512" spans="1:12" ht="15.75" x14ac:dyDescent="0.25">
      <c r="A512" s="7"/>
      <c r="B512" s="245">
        <v>45292</v>
      </c>
      <c r="C512" s="245">
        <v>45292</v>
      </c>
      <c r="D512" s="269">
        <v>9882</v>
      </c>
      <c r="E512" s="251" t="s">
        <v>917</v>
      </c>
      <c r="F512" s="242" t="s">
        <v>469</v>
      </c>
      <c r="G512" s="242" t="s">
        <v>468</v>
      </c>
      <c r="H512" s="242">
        <v>240</v>
      </c>
      <c r="I512" s="242">
        <v>168</v>
      </c>
      <c r="J512" s="262">
        <v>168</v>
      </c>
      <c r="K512" s="311">
        <v>250</v>
      </c>
      <c r="L512" s="263">
        <f t="shared" si="7"/>
        <v>42000</v>
      </c>
    </row>
    <row r="513" spans="1:12" ht="15.75" x14ac:dyDescent="0.25">
      <c r="A513" s="7"/>
      <c r="B513" s="245">
        <v>45292</v>
      </c>
      <c r="C513" s="245">
        <v>45292</v>
      </c>
      <c r="D513" s="269">
        <v>1336</v>
      </c>
      <c r="E513" s="251" t="s">
        <v>918</v>
      </c>
      <c r="F513" s="242" t="s">
        <v>469</v>
      </c>
      <c r="G513" s="242" t="s">
        <v>468</v>
      </c>
      <c r="H513" s="242"/>
      <c r="I513" s="242">
        <v>24</v>
      </c>
      <c r="J513" s="262">
        <v>36</v>
      </c>
      <c r="K513" s="311">
        <v>39</v>
      </c>
      <c r="L513" s="263">
        <f t="shared" si="7"/>
        <v>1404</v>
      </c>
    </row>
    <row r="514" spans="1:12" ht="15.75" x14ac:dyDescent="0.25">
      <c r="A514" s="7"/>
      <c r="B514" s="245">
        <v>45292</v>
      </c>
      <c r="C514" s="245">
        <v>45292</v>
      </c>
      <c r="D514" s="269">
        <v>926</v>
      </c>
      <c r="E514" s="251" t="s">
        <v>919</v>
      </c>
      <c r="F514" s="242" t="s">
        <v>469</v>
      </c>
      <c r="G514" s="242" t="s">
        <v>468</v>
      </c>
      <c r="H514" s="242"/>
      <c r="I514" s="242">
        <v>0</v>
      </c>
      <c r="J514" s="262">
        <v>36</v>
      </c>
      <c r="K514" s="311">
        <v>39</v>
      </c>
      <c r="L514" s="263">
        <f t="shared" si="7"/>
        <v>1404</v>
      </c>
    </row>
    <row r="515" spans="1:12" ht="15.75" x14ac:dyDescent="0.25">
      <c r="A515" s="7"/>
      <c r="B515" s="245">
        <v>45292</v>
      </c>
      <c r="C515" s="245">
        <v>45292</v>
      </c>
      <c r="D515" s="269">
        <v>1263</v>
      </c>
      <c r="E515" s="251" t="s">
        <v>950</v>
      </c>
      <c r="F515" s="242" t="s">
        <v>467</v>
      </c>
      <c r="G515" s="242" t="s">
        <v>468</v>
      </c>
      <c r="H515" s="242"/>
      <c r="I515" s="242">
        <v>0</v>
      </c>
      <c r="J515" s="262">
        <v>20</v>
      </c>
      <c r="K515" s="311">
        <v>89.56</v>
      </c>
      <c r="L515" s="263">
        <f t="shared" si="7"/>
        <v>1791.2</v>
      </c>
    </row>
    <row r="516" spans="1:12" ht="15.75" x14ac:dyDescent="0.25">
      <c r="A516" s="7"/>
      <c r="B516" s="245">
        <v>45292</v>
      </c>
      <c r="C516" s="245">
        <v>45292</v>
      </c>
      <c r="D516" s="269">
        <v>1264</v>
      </c>
      <c r="E516" s="251" t="s">
        <v>951</v>
      </c>
      <c r="F516" s="242" t="s">
        <v>467</v>
      </c>
      <c r="G516" s="242" t="s">
        <v>468</v>
      </c>
      <c r="H516" s="242"/>
      <c r="I516" s="242">
        <v>30</v>
      </c>
      <c r="J516" s="262">
        <v>40</v>
      </c>
      <c r="K516" s="313">
        <v>89.56</v>
      </c>
      <c r="L516" s="263">
        <f t="shared" si="7"/>
        <v>3582.4</v>
      </c>
    </row>
    <row r="517" spans="1:12" ht="15.75" x14ac:dyDescent="0.25">
      <c r="A517" s="7"/>
      <c r="B517" s="245">
        <v>45292</v>
      </c>
      <c r="C517" s="245">
        <v>45292</v>
      </c>
      <c r="D517" s="269">
        <v>882</v>
      </c>
      <c r="E517" s="251" t="s">
        <v>922</v>
      </c>
      <c r="F517" s="242" t="s">
        <v>469</v>
      </c>
      <c r="G517" s="242" t="s">
        <v>480</v>
      </c>
      <c r="H517" s="242">
        <v>3000</v>
      </c>
      <c r="I517" s="242">
        <v>2652</v>
      </c>
      <c r="J517" s="262">
        <v>2244</v>
      </c>
      <c r="K517" s="311">
        <v>22.73</v>
      </c>
      <c r="L517" s="263">
        <f t="shared" si="7"/>
        <v>51006.12</v>
      </c>
    </row>
    <row r="518" spans="1:12" ht="15.75" x14ac:dyDescent="0.25">
      <c r="A518" s="7"/>
      <c r="B518" s="245">
        <v>45292</v>
      </c>
      <c r="C518" s="245">
        <v>45292</v>
      </c>
      <c r="D518" s="269">
        <v>792</v>
      </c>
      <c r="E518" s="251" t="s">
        <v>2527</v>
      </c>
      <c r="F518" s="242" t="s">
        <v>469</v>
      </c>
      <c r="G518" s="242" t="s">
        <v>468</v>
      </c>
      <c r="H518" s="242">
        <v>200</v>
      </c>
      <c r="I518" s="242">
        <v>138</v>
      </c>
      <c r="J518" s="262">
        <v>62</v>
      </c>
      <c r="K518" s="312">
        <v>630</v>
      </c>
      <c r="L518" s="263">
        <f t="shared" si="7"/>
        <v>39060</v>
      </c>
    </row>
    <row r="519" spans="1:12" ht="15.75" x14ac:dyDescent="0.25">
      <c r="A519" s="7"/>
      <c r="B519" s="245">
        <v>45292</v>
      </c>
      <c r="C519" s="245">
        <v>45292</v>
      </c>
      <c r="D519" s="269">
        <v>1173</v>
      </c>
      <c r="E519" s="251" t="s">
        <v>923</v>
      </c>
      <c r="F519" s="242" t="s">
        <v>469</v>
      </c>
      <c r="G519" s="242" t="s">
        <v>480</v>
      </c>
      <c r="H519" s="242"/>
      <c r="I519" s="242">
        <v>0</v>
      </c>
      <c r="J519" s="262">
        <v>12</v>
      </c>
      <c r="K519" s="311">
        <v>330</v>
      </c>
      <c r="L519" s="263">
        <f t="shared" si="7"/>
        <v>3960</v>
      </c>
    </row>
    <row r="520" spans="1:12" ht="15.75" x14ac:dyDescent="0.25">
      <c r="A520" s="7"/>
      <c r="B520" s="245">
        <v>45292</v>
      </c>
      <c r="C520" s="245">
        <v>45292</v>
      </c>
      <c r="D520" s="269">
        <v>6237</v>
      </c>
      <c r="E520" s="251" t="s">
        <v>924</v>
      </c>
      <c r="F520" s="242" t="s">
        <v>469</v>
      </c>
      <c r="G520" s="242" t="s">
        <v>480</v>
      </c>
      <c r="H520" s="242"/>
      <c r="I520" s="242">
        <v>0</v>
      </c>
      <c r="J520" s="262">
        <v>2</v>
      </c>
      <c r="K520" s="311">
        <v>140</v>
      </c>
      <c r="L520" s="263">
        <f t="shared" si="7"/>
        <v>280</v>
      </c>
    </row>
    <row r="521" spans="1:12" ht="15.75" x14ac:dyDescent="0.25">
      <c r="A521" s="7"/>
      <c r="B521" s="245">
        <v>45292</v>
      </c>
      <c r="C521" s="245">
        <v>45292</v>
      </c>
      <c r="D521" s="269">
        <v>5285</v>
      </c>
      <c r="E521" s="251" t="s">
        <v>925</v>
      </c>
      <c r="F521" s="242" t="s">
        <v>469</v>
      </c>
      <c r="G521" s="242" t="s">
        <v>480</v>
      </c>
      <c r="H521" s="242"/>
      <c r="I521" s="242">
        <v>0</v>
      </c>
      <c r="J521" s="262">
        <v>39</v>
      </c>
      <c r="K521" s="313">
        <v>1995</v>
      </c>
      <c r="L521" s="263">
        <f t="shared" si="7"/>
        <v>77805</v>
      </c>
    </row>
    <row r="522" spans="1:12" ht="15.75" x14ac:dyDescent="0.25">
      <c r="A522" s="7"/>
      <c r="B522" s="245">
        <v>45292</v>
      </c>
      <c r="C522" s="245">
        <v>45292</v>
      </c>
      <c r="D522" s="269">
        <v>1265</v>
      </c>
      <c r="E522" s="251" t="s">
        <v>952</v>
      </c>
      <c r="F522" s="242" t="s">
        <v>467</v>
      </c>
      <c r="G522" s="242" t="s">
        <v>468</v>
      </c>
      <c r="H522" s="242"/>
      <c r="I522" s="242">
        <v>10</v>
      </c>
      <c r="J522" s="262">
        <v>60</v>
      </c>
      <c r="K522" s="312">
        <v>89.99</v>
      </c>
      <c r="L522" s="263">
        <f t="shared" si="7"/>
        <v>5399.4</v>
      </c>
    </row>
    <row r="523" spans="1:12" ht="15.75" x14ac:dyDescent="0.25">
      <c r="A523" s="7"/>
      <c r="B523" s="245">
        <v>45292</v>
      </c>
      <c r="C523" s="245">
        <v>45292</v>
      </c>
      <c r="D523" s="269">
        <v>1267</v>
      </c>
      <c r="E523" s="251" t="s">
        <v>953</v>
      </c>
      <c r="F523" s="242" t="s">
        <v>467</v>
      </c>
      <c r="G523" s="242" t="s">
        <v>468</v>
      </c>
      <c r="H523" s="242"/>
      <c r="I523" s="242">
        <v>40</v>
      </c>
      <c r="J523" s="262">
        <v>340</v>
      </c>
      <c r="K523" s="312">
        <v>79.169999999999987</v>
      </c>
      <c r="L523" s="263">
        <f t="shared" si="7"/>
        <v>26917.799999999996</v>
      </c>
    </row>
    <row r="524" spans="1:12" ht="15.75" x14ac:dyDescent="0.25">
      <c r="A524" s="7"/>
      <c r="B524" s="245">
        <v>45292</v>
      </c>
      <c r="C524" s="245">
        <v>45292</v>
      </c>
      <c r="D524" s="269">
        <v>1268</v>
      </c>
      <c r="E524" s="251" t="s">
        <v>954</v>
      </c>
      <c r="F524" s="242" t="s">
        <v>467</v>
      </c>
      <c r="G524" s="242" t="s">
        <v>468</v>
      </c>
      <c r="H524" s="242"/>
      <c r="I524" s="242">
        <v>50</v>
      </c>
      <c r="J524" s="262">
        <v>170</v>
      </c>
      <c r="K524" s="311">
        <v>53.1</v>
      </c>
      <c r="L524" s="263">
        <f t="shared" si="7"/>
        <v>9027</v>
      </c>
    </row>
    <row r="525" spans="1:12" ht="15.75" x14ac:dyDescent="0.25">
      <c r="A525" s="7"/>
      <c r="B525" s="245">
        <v>45292</v>
      </c>
      <c r="C525" s="245">
        <v>45292</v>
      </c>
      <c r="D525" s="269">
        <v>1269</v>
      </c>
      <c r="E525" s="251" t="s">
        <v>955</v>
      </c>
      <c r="F525" s="242" t="s">
        <v>467</v>
      </c>
      <c r="G525" s="242" t="s">
        <v>468</v>
      </c>
      <c r="H525" s="242"/>
      <c r="I525" s="242">
        <v>20</v>
      </c>
      <c r="J525" s="262">
        <v>120</v>
      </c>
      <c r="K525" s="311">
        <v>89.56</v>
      </c>
      <c r="L525" s="263">
        <f t="shared" si="7"/>
        <v>10747.2</v>
      </c>
    </row>
    <row r="526" spans="1:12" ht="15.75" x14ac:dyDescent="0.25">
      <c r="A526" s="7"/>
      <c r="B526" s="245">
        <v>45292</v>
      </c>
      <c r="C526" s="245">
        <v>45292</v>
      </c>
      <c r="D526" s="269">
        <v>4854</v>
      </c>
      <c r="E526" s="251" t="s">
        <v>956</v>
      </c>
      <c r="F526" s="242" t="s">
        <v>467</v>
      </c>
      <c r="G526" s="242" t="s">
        <v>468</v>
      </c>
      <c r="H526" s="242"/>
      <c r="I526" s="242">
        <v>0</v>
      </c>
      <c r="J526" s="262">
        <v>30</v>
      </c>
      <c r="K526" s="312">
        <v>84.960000000000008</v>
      </c>
      <c r="L526" s="263">
        <f t="shared" ref="L526:L589" si="8">+K526*J526</f>
        <v>2548.8000000000002</v>
      </c>
    </row>
    <row r="527" spans="1:12" ht="15.75" x14ac:dyDescent="0.25">
      <c r="A527" s="7"/>
      <c r="B527" s="245">
        <v>45292</v>
      </c>
      <c r="C527" s="245">
        <v>45292</v>
      </c>
      <c r="D527" s="269">
        <v>4855</v>
      </c>
      <c r="E527" s="251" t="s">
        <v>957</v>
      </c>
      <c r="F527" s="242" t="s">
        <v>467</v>
      </c>
      <c r="G527" s="242" t="s">
        <v>468</v>
      </c>
      <c r="H527" s="242"/>
      <c r="I527" s="242">
        <v>0</v>
      </c>
      <c r="J527" s="262">
        <v>20</v>
      </c>
      <c r="K527" s="312">
        <v>74.34</v>
      </c>
      <c r="L527" s="263">
        <f t="shared" si="8"/>
        <v>1486.8000000000002</v>
      </c>
    </row>
    <row r="528" spans="1:12" ht="15.75" x14ac:dyDescent="0.25">
      <c r="A528" s="7"/>
      <c r="B528" s="245">
        <v>45292</v>
      </c>
      <c r="C528" s="245">
        <v>45292</v>
      </c>
      <c r="D528" s="269">
        <v>1266</v>
      </c>
      <c r="E528" s="251" t="s">
        <v>958</v>
      </c>
      <c r="F528" s="242" t="s">
        <v>467</v>
      </c>
      <c r="G528" s="242" t="s">
        <v>468</v>
      </c>
      <c r="H528" s="242"/>
      <c r="I528" s="242">
        <v>20</v>
      </c>
      <c r="J528" s="262">
        <v>40</v>
      </c>
      <c r="K528" s="312">
        <v>39.53</v>
      </c>
      <c r="L528" s="263">
        <f t="shared" si="8"/>
        <v>1581.2</v>
      </c>
    </row>
    <row r="529" spans="1:12" ht="15.75" x14ac:dyDescent="0.25">
      <c r="A529" s="7"/>
      <c r="B529" s="245">
        <v>45292</v>
      </c>
      <c r="C529" s="245">
        <v>45292</v>
      </c>
      <c r="D529" s="269">
        <v>1276</v>
      </c>
      <c r="E529" s="251" t="s">
        <v>959</v>
      </c>
      <c r="F529" s="242" t="s">
        <v>467</v>
      </c>
      <c r="G529" s="242" t="s">
        <v>468</v>
      </c>
      <c r="H529" s="242"/>
      <c r="I529" s="242">
        <v>10</v>
      </c>
      <c r="J529" s="262">
        <v>353</v>
      </c>
      <c r="K529" s="312">
        <v>61.36</v>
      </c>
      <c r="L529" s="263">
        <f t="shared" si="8"/>
        <v>21660.079999999998</v>
      </c>
    </row>
    <row r="530" spans="1:12" ht="15.75" x14ac:dyDescent="0.25">
      <c r="A530" s="7"/>
      <c r="B530" s="245">
        <v>45292</v>
      </c>
      <c r="C530" s="245">
        <v>45292</v>
      </c>
      <c r="D530" s="269">
        <v>1390</v>
      </c>
      <c r="E530" s="251" t="s">
        <v>960</v>
      </c>
      <c r="F530" s="242" t="s">
        <v>467</v>
      </c>
      <c r="G530" s="242" t="s">
        <v>468</v>
      </c>
      <c r="H530" s="242"/>
      <c r="I530" s="242">
        <v>0</v>
      </c>
      <c r="J530" s="262">
        <v>30</v>
      </c>
      <c r="K530" s="314">
        <v>880</v>
      </c>
      <c r="L530" s="263">
        <f t="shared" si="8"/>
        <v>26400</v>
      </c>
    </row>
    <row r="531" spans="1:12" ht="15.75" x14ac:dyDescent="0.25">
      <c r="A531" s="7"/>
      <c r="B531" s="245">
        <v>45292</v>
      </c>
      <c r="C531" s="245">
        <v>45292</v>
      </c>
      <c r="D531" s="269">
        <v>1389</v>
      </c>
      <c r="E531" s="251" t="s">
        <v>961</v>
      </c>
      <c r="F531" s="242" t="s">
        <v>467</v>
      </c>
      <c r="G531" s="242" t="s">
        <v>468</v>
      </c>
      <c r="H531" s="242"/>
      <c r="I531" s="242">
        <v>0</v>
      </c>
      <c r="J531" s="262">
        <v>10</v>
      </c>
      <c r="K531" s="312">
        <v>880</v>
      </c>
      <c r="L531" s="263">
        <f t="shared" si="8"/>
        <v>8800</v>
      </c>
    </row>
    <row r="532" spans="1:12" ht="15.75" x14ac:dyDescent="0.25">
      <c r="A532" s="7"/>
      <c r="B532" s="245">
        <v>45292</v>
      </c>
      <c r="C532" s="245">
        <v>45292</v>
      </c>
      <c r="D532" s="269">
        <v>15811</v>
      </c>
      <c r="E532" s="251" t="s">
        <v>1988</v>
      </c>
      <c r="F532" s="242" t="s">
        <v>467</v>
      </c>
      <c r="G532" s="242" t="s">
        <v>468</v>
      </c>
      <c r="H532" s="242"/>
      <c r="I532" s="242">
        <v>0</v>
      </c>
      <c r="J532" s="262">
        <v>3</v>
      </c>
      <c r="K532" s="312">
        <v>6330.98</v>
      </c>
      <c r="L532" s="263">
        <f t="shared" si="8"/>
        <v>18992.939999999999</v>
      </c>
    </row>
    <row r="533" spans="1:12" ht="15.75" x14ac:dyDescent="0.25">
      <c r="A533" s="7"/>
      <c r="B533" s="245">
        <v>45292</v>
      </c>
      <c r="C533" s="245">
        <v>45292</v>
      </c>
      <c r="D533" s="269">
        <v>1279</v>
      </c>
      <c r="E533" s="251" t="s">
        <v>962</v>
      </c>
      <c r="F533" s="242" t="s">
        <v>467</v>
      </c>
      <c r="G533" s="242" t="s">
        <v>468</v>
      </c>
      <c r="H533" s="242"/>
      <c r="I533" s="242">
        <v>0</v>
      </c>
      <c r="J533" s="262">
        <v>6</v>
      </c>
      <c r="K533" s="311">
        <v>20159.990000000002</v>
      </c>
      <c r="L533" s="263">
        <f t="shared" si="8"/>
        <v>120959.94</v>
      </c>
    </row>
    <row r="534" spans="1:12" ht="15.75" x14ac:dyDescent="0.25">
      <c r="A534" s="7"/>
      <c r="B534" s="245">
        <v>45292</v>
      </c>
      <c r="C534" s="245">
        <v>45292</v>
      </c>
      <c r="D534" s="269">
        <v>1257</v>
      </c>
      <c r="E534" s="251" t="s">
        <v>946</v>
      </c>
      <c r="F534" s="242" t="s">
        <v>502</v>
      </c>
      <c r="G534" s="242" t="s">
        <v>468</v>
      </c>
      <c r="H534" s="242"/>
      <c r="I534" s="242">
        <v>150</v>
      </c>
      <c r="J534" s="262">
        <v>500</v>
      </c>
      <c r="K534" s="312">
        <v>65</v>
      </c>
      <c r="L534" s="263">
        <f t="shared" si="8"/>
        <v>32500</v>
      </c>
    </row>
    <row r="535" spans="1:12" ht="15.75" x14ac:dyDescent="0.25">
      <c r="A535" s="7"/>
      <c r="B535" s="245">
        <v>45292</v>
      </c>
      <c r="C535" s="245">
        <v>45292</v>
      </c>
      <c r="D535" s="269">
        <v>8531</v>
      </c>
      <c r="E535" s="251" t="s">
        <v>963</v>
      </c>
      <c r="F535" s="242" t="s">
        <v>467</v>
      </c>
      <c r="G535" s="242" t="s">
        <v>468</v>
      </c>
      <c r="H535" s="242"/>
      <c r="I535" s="242">
        <v>0</v>
      </c>
      <c r="J535" s="262">
        <v>6</v>
      </c>
      <c r="K535" s="311">
        <v>26811.676599999999</v>
      </c>
      <c r="L535" s="263">
        <f t="shared" si="8"/>
        <v>160870.05959999998</v>
      </c>
    </row>
    <row r="536" spans="1:12" ht="15.75" x14ac:dyDescent="0.25">
      <c r="A536" s="7"/>
      <c r="B536" s="245">
        <v>45292</v>
      </c>
      <c r="C536" s="245">
        <v>45292</v>
      </c>
      <c r="D536" s="269">
        <v>6644</v>
      </c>
      <c r="E536" s="251" t="s">
        <v>971</v>
      </c>
      <c r="F536" s="242" t="s">
        <v>469</v>
      </c>
      <c r="G536" s="242" t="s">
        <v>468</v>
      </c>
      <c r="H536" s="242"/>
      <c r="I536" s="242">
        <v>0</v>
      </c>
      <c r="J536" s="262">
        <v>100</v>
      </c>
      <c r="K536" s="314">
        <v>2150</v>
      </c>
      <c r="L536" s="263">
        <f t="shared" si="8"/>
        <v>215000</v>
      </c>
    </row>
    <row r="537" spans="1:12" ht="15.75" x14ac:dyDescent="0.25">
      <c r="A537" s="7"/>
      <c r="B537" s="245">
        <v>45292</v>
      </c>
      <c r="C537" s="245">
        <v>45292</v>
      </c>
      <c r="D537" s="269">
        <v>6410</v>
      </c>
      <c r="E537" s="251" t="s">
        <v>964</v>
      </c>
      <c r="F537" s="242" t="s">
        <v>467</v>
      </c>
      <c r="G537" s="242" t="s">
        <v>468</v>
      </c>
      <c r="H537" s="242"/>
      <c r="I537" s="242">
        <v>0</v>
      </c>
      <c r="J537" s="262">
        <v>15</v>
      </c>
      <c r="K537" s="312">
        <v>29159.199999999997</v>
      </c>
      <c r="L537" s="263">
        <f t="shared" si="8"/>
        <v>437387.99999999994</v>
      </c>
    </row>
    <row r="538" spans="1:12" ht="15.75" x14ac:dyDescent="0.25">
      <c r="A538" s="7"/>
      <c r="B538" s="245">
        <v>45292</v>
      </c>
      <c r="C538" s="245">
        <v>45292</v>
      </c>
      <c r="D538" s="269">
        <v>15564</v>
      </c>
      <c r="E538" s="251" t="s">
        <v>965</v>
      </c>
      <c r="F538" s="242" t="s">
        <v>467</v>
      </c>
      <c r="G538" s="242" t="s">
        <v>468</v>
      </c>
      <c r="H538" s="242"/>
      <c r="I538" s="242">
        <v>0</v>
      </c>
      <c r="J538" s="262">
        <v>8</v>
      </c>
      <c r="K538" s="311">
        <v>35546</v>
      </c>
      <c r="L538" s="263">
        <f t="shared" si="8"/>
        <v>284368</v>
      </c>
    </row>
    <row r="539" spans="1:12" ht="15.75" x14ac:dyDescent="0.25">
      <c r="A539" s="7"/>
      <c r="B539" s="245">
        <v>45292</v>
      </c>
      <c r="C539" s="245">
        <v>45292</v>
      </c>
      <c r="D539" s="269">
        <v>1284</v>
      </c>
      <c r="E539" s="251" t="s">
        <v>968</v>
      </c>
      <c r="F539" s="242" t="s">
        <v>467</v>
      </c>
      <c r="G539" s="242" t="s">
        <v>499</v>
      </c>
      <c r="H539" s="242"/>
      <c r="I539" s="242">
        <v>12</v>
      </c>
      <c r="J539" s="262">
        <v>36</v>
      </c>
      <c r="K539" s="313">
        <v>21.11</v>
      </c>
      <c r="L539" s="263">
        <f t="shared" si="8"/>
        <v>759.96</v>
      </c>
    </row>
    <row r="540" spans="1:12" ht="15.75" x14ac:dyDescent="0.25">
      <c r="A540" s="7"/>
      <c r="B540" s="245">
        <v>45292</v>
      </c>
      <c r="C540" s="245">
        <v>45292</v>
      </c>
      <c r="D540" s="269">
        <v>8879</v>
      </c>
      <c r="E540" s="251" t="s">
        <v>973</v>
      </c>
      <c r="F540" s="242" t="s">
        <v>467</v>
      </c>
      <c r="G540" s="242" t="s">
        <v>468</v>
      </c>
      <c r="H540" s="242"/>
      <c r="I540" s="242">
        <v>0</v>
      </c>
      <c r="J540" s="262">
        <v>2</v>
      </c>
      <c r="K540" s="312">
        <v>4023.1</v>
      </c>
      <c r="L540" s="263">
        <f t="shared" si="8"/>
        <v>8046.2</v>
      </c>
    </row>
    <row r="541" spans="1:12" ht="15.75" x14ac:dyDescent="0.25">
      <c r="A541" s="7"/>
      <c r="B541" s="245">
        <v>45292</v>
      </c>
      <c r="C541" s="245">
        <v>45292</v>
      </c>
      <c r="D541" s="269">
        <v>14219</v>
      </c>
      <c r="E541" s="251" t="s">
        <v>2528</v>
      </c>
      <c r="F541" s="242" t="s">
        <v>470</v>
      </c>
      <c r="G541" s="242" t="s">
        <v>478</v>
      </c>
      <c r="H541" s="242">
        <v>450</v>
      </c>
      <c r="I541" s="242">
        <v>90</v>
      </c>
      <c r="J541" s="262">
        <v>360</v>
      </c>
      <c r="K541" s="312">
        <v>13.15</v>
      </c>
      <c r="L541" s="263">
        <f t="shared" si="8"/>
        <v>4734</v>
      </c>
    </row>
    <row r="542" spans="1:12" ht="15.75" x14ac:dyDescent="0.25">
      <c r="A542" s="7"/>
      <c r="B542" s="245">
        <v>45292</v>
      </c>
      <c r="C542" s="245">
        <v>45292</v>
      </c>
      <c r="D542" s="269">
        <v>878</v>
      </c>
      <c r="E542" s="251" t="s">
        <v>634</v>
      </c>
      <c r="F542" s="242" t="s">
        <v>470</v>
      </c>
      <c r="G542" s="242" t="s">
        <v>474</v>
      </c>
      <c r="H542" s="242"/>
      <c r="I542" s="242">
        <v>200</v>
      </c>
      <c r="J542" s="262">
        <v>525</v>
      </c>
      <c r="K542" s="313">
        <v>3236.92</v>
      </c>
      <c r="L542" s="263">
        <f t="shared" si="8"/>
        <v>1699383</v>
      </c>
    </row>
    <row r="543" spans="1:12" ht="15.75" x14ac:dyDescent="0.25">
      <c r="A543" s="7"/>
      <c r="B543" s="245">
        <v>45292</v>
      </c>
      <c r="C543" s="245">
        <v>45292</v>
      </c>
      <c r="D543" s="269">
        <v>1080</v>
      </c>
      <c r="E543" s="251" t="s">
        <v>773</v>
      </c>
      <c r="F543" s="242" t="s">
        <v>470</v>
      </c>
      <c r="G543" s="242" t="s">
        <v>474</v>
      </c>
      <c r="H543" s="242"/>
      <c r="I543" s="242">
        <v>150</v>
      </c>
      <c r="J543" s="262">
        <v>400</v>
      </c>
      <c r="K543" s="311">
        <v>104.74</v>
      </c>
      <c r="L543" s="263">
        <f t="shared" si="8"/>
        <v>41896</v>
      </c>
    </row>
    <row r="544" spans="1:12" ht="15.75" x14ac:dyDescent="0.25">
      <c r="A544" s="7"/>
      <c r="B544" s="245">
        <v>45292</v>
      </c>
      <c r="C544" s="245">
        <v>45292</v>
      </c>
      <c r="D544" s="269">
        <v>1142</v>
      </c>
      <c r="E544" s="251" t="s">
        <v>839</v>
      </c>
      <c r="F544" s="242" t="s">
        <v>470</v>
      </c>
      <c r="G544" s="242" t="s">
        <v>474</v>
      </c>
      <c r="H544" s="242">
        <v>535</v>
      </c>
      <c r="I544" s="242">
        <v>155</v>
      </c>
      <c r="J544" s="262">
        <v>385</v>
      </c>
      <c r="K544" s="314">
        <v>70</v>
      </c>
      <c r="L544" s="263">
        <f t="shared" si="8"/>
        <v>26950</v>
      </c>
    </row>
    <row r="545" spans="1:12" ht="15.75" x14ac:dyDescent="0.25">
      <c r="A545" s="7"/>
      <c r="B545" s="245">
        <v>45292</v>
      </c>
      <c r="C545" s="245">
        <v>45292</v>
      </c>
      <c r="D545" s="269">
        <v>1179</v>
      </c>
      <c r="E545" s="251" t="s">
        <v>852</v>
      </c>
      <c r="F545" s="242" t="s">
        <v>470</v>
      </c>
      <c r="G545" s="242" t="s">
        <v>468</v>
      </c>
      <c r="H545" s="242"/>
      <c r="I545" s="242">
        <v>150</v>
      </c>
      <c r="J545" s="262">
        <v>60</v>
      </c>
      <c r="K545" s="314">
        <v>230.6</v>
      </c>
      <c r="L545" s="263">
        <f t="shared" si="8"/>
        <v>13836</v>
      </c>
    </row>
    <row r="546" spans="1:12" ht="15.75" x14ac:dyDescent="0.25">
      <c r="A546" s="7"/>
      <c r="B546" s="245">
        <v>45292</v>
      </c>
      <c r="C546" s="245">
        <v>45292</v>
      </c>
      <c r="D546" s="269">
        <v>892</v>
      </c>
      <c r="E546" s="251" t="s">
        <v>2390</v>
      </c>
      <c r="F546" s="242" t="s">
        <v>470</v>
      </c>
      <c r="G546" s="242" t="s">
        <v>474</v>
      </c>
      <c r="H546" s="242"/>
      <c r="I546" s="242">
        <v>0</v>
      </c>
      <c r="J546" s="262">
        <v>85</v>
      </c>
      <c r="K546" s="312">
        <v>4140</v>
      </c>
      <c r="L546" s="263">
        <f t="shared" si="8"/>
        <v>351900</v>
      </c>
    </row>
    <row r="547" spans="1:12" ht="15.75" x14ac:dyDescent="0.25">
      <c r="A547" s="7"/>
      <c r="B547" s="245">
        <v>45292</v>
      </c>
      <c r="C547" s="245">
        <v>45292</v>
      </c>
      <c r="D547" s="269">
        <v>1138</v>
      </c>
      <c r="E547" s="251" t="s">
        <v>1989</v>
      </c>
      <c r="F547" s="242" t="s">
        <v>470</v>
      </c>
      <c r="G547" s="242" t="s">
        <v>480</v>
      </c>
      <c r="H547" s="242"/>
      <c r="I547" s="242">
        <v>40</v>
      </c>
      <c r="J547" s="262">
        <v>8</v>
      </c>
      <c r="K547" s="311">
        <v>944</v>
      </c>
      <c r="L547" s="263">
        <f t="shared" si="8"/>
        <v>7552</v>
      </c>
    </row>
    <row r="548" spans="1:12" ht="15.75" x14ac:dyDescent="0.25">
      <c r="A548" s="7"/>
      <c r="B548" s="245">
        <v>45292</v>
      </c>
      <c r="C548" s="245">
        <v>45292</v>
      </c>
      <c r="D548" s="269">
        <v>11850</v>
      </c>
      <c r="E548" s="251" t="s">
        <v>1990</v>
      </c>
      <c r="F548" s="242" t="s">
        <v>523</v>
      </c>
      <c r="G548" s="242" t="s">
        <v>564</v>
      </c>
      <c r="H548" s="242"/>
      <c r="I548" s="242">
        <v>120</v>
      </c>
      <c r="J548" s="262">
        <v>30</v>
      </c>
      <c r="K548" s="311">
        <v>557.76</v>
      </c>
      <c r="L548" s="263">
        <f t="shared" si="8"/>
        <v>16732.8</v>
      </c>
    </row>
    <row r="549" spans="1:12" ht="15.75" x14ac:dyDescent="0.25">
      <c r="A549" s="7"/>
      <c r="B549" s="245">
        <v>45292</v>
      </c>
      <c r="C549" s="245">
        <v>45292</v>
      </c>
      <c r="D549" s="269">
        <v>1344</v>
      </c>
      <c r="E549" s="251" t="s">
        <v>2529</v>
      </c>
      <c r="F549" s="242" t="s">
        <v>470</v>
      </c>
      <c r="G549" s="242" t="s">
        <v>478</v>
      </c>
      <c r="H549" s="242">
        <v>200</v>
      </c>
      <c r="I549" s="242">
        <v>100</v>
      </c>
      <c r="J549" s="262">
        <v>100</v>
      </c>
      <c r="K549" s="311">
        <v>10</v>
      </c>
      <c r="L549" s="263">
        <f t="shared" si="8"/>
        <v>1000</v>
      </c>
    </row>
    <row r="550" spans="1:12" ht="15.75" x14ac:dyDescent="0.25">
      <c r="A550" s="7"/>
      <c r="B550" s="245">
        <v>45292</v>
      </c>
      <c r="C550" s="245">
        <v>45292</v>
      </c>
      <c r="D550" s="269">
        <v>15067</v>
      </c>
      <c r="E550" s="251" t="s">
        <v>2391</v>
      </c>
      <c r="F550" s="242" t="s">
        <v>470</v>
      </c>
      <c r="G550" s="242" t="s">
        <v>474</v>
      </c>
      <c r="H550" s="242"/>
      <c r="I550" s="242">
        <v>0</v>
      </c>
      <c r="J550" s="262">
        <v>120</v>
      </c>
      <c r="K550" s="313">
        <v>1200</v>
      </c>
      <c r="L550" s="263">
        <f t="shared" si="8"/>
        <v>144000</v>
      </c>
    </row>
    <row r="551" spans="1:12" ht="15.75" x14ac:dyDescent="0.25">
      <c r="A551" s="7"/>
      <c r="B551" s="245">
        <v>45292</v>
      </c>
      <c r="C551" s="245">
        <v>45292</v>
      </c>
      <c r="D551" s="269">
        <v>931</v>
      </c>
      <c r="E551" s="251" t="s">
        <v>661</v>
      </c>
      <c r="F551" s="242" t="s">
        <v>470</v>
      </c>
      <c r="G551" s="242" t="s">
        <v>468</v>
      </c>
      <c r="H551" s="242"/>
      <c r="I551" s="242">
        <v>10</v>
      </c>
      <c r="J551" s="262">
        <v>70</v>
      </c>
      <c r="K551" s="312">
        <v>5.7</v>
      </c>
      <c r="L551" s="263">
        <f t="shared" si="8"/>
        <v>399</v>
      </c>
    </row>
    <row r="552" spans="1:12" ht="30" x14ac:dyDescent="0.25">
      <c r="A552" s="7"/>
      <c r="B552" s="245">
        <v>45292</v>
      </c>
      <c r="C552" s="245">
        <v>45292</v>
      </c>
      <c r="D552" s="269">
        <v>1058</v>
      </c>
      <c r="E552" s="251" t="s">
        <v>2530</v>
      </c>
      <c r="F552" s="242" t="s">
        <v>470</v>
      </c>
      <c r="G552" s="242" t="s">
        <v>474</v>
      </c>
      <c r="H552" s="242"/>
      <c r="I552" s="242">
        <v>20</v>
      </c>
      <c r="J552" s="262">
        <v>180</v>
      </c>
      <c r="K552" s="311">
        <v>870</v>
      </c>
      <c r="L552" s="263">
        <f t="shared" si="8"/>
        <v>156600</v>
      </c>
    </row>
    <row r="553" spans="1:12" ht="15.75" x14ac:dyDescent="0.25">
      <c r="A553" s="7"/>
      <c r="B553" s="245">
        <v>45292</v>
      </c>
      <c r="C553" s="245">
        <v>45292</v>
      </c>
      <c r="D553" s="269">
        <v>4846</v>
      </c>
      <c r="E553" s="251" t="s">
        <v>974</v>
      </c>
      <c r="F553" s="242" t="s">
        <v>467</v>
      </c>
      <c r="G553" s="242" t="s">
        <v>468</v>
      </c>
      <c r="H553" s="242"/>
      <c r="I553" s="242">
        <v>0</v>
      </c>
      <c r="J553" s="262">
        <v>42</v>
      </c>
      <c r="K553" s="312">
        <v>6817.53</v>
      </c>
      <c r="L553" s="263">
        <f t="shared" si="8"/>
        <v>286336.26</v>
      </c>
    </row>
    <row r="554" spans="1:12" ht="15.75" x14ac:dyDescent="0.25">
      <c r="A554" s="7"/>
      <c r="B554" s="245">
        <v>45292</v>
      </c>
      <c r="C554" s="245">
        <v>45292</v>
      </c>
      <c r="D554" s="269">
        <v>7695</v>
      </c>
      <c r="E554" s="251" t="s">
        <v>975</v>
      </c>
      <c r="F554" s="242" t="s">
        <v>467</v>
      </c>
      <c r="G554" s="242" t="s">
        <v>468</v>
      </c>
      <c r="H554" s="242"/>
      <c r="I554" s="242">
        <v>0</v>
      </c>
      <c r="J554" s="262">
        <v>24</v>
      </c>
      <c r="K554" s="312">
        <v>14080.86</v>
      </c>
      <c r="L554" s="263">
        <f t="shared" si="8"/>
        <v>337940.64</v>
      </c>
    </row>
    <row r="555" spans="1:12" ht="15.75" x14ac:dyDescent="0.25">
      <c r="A555" s="7"/>
      <c r="B555" s="245">
        <v>45292</v>
      </c>
      <c r="C555" s="245">
        <v>45292</v>
      </c>
      <c r="D555" s="269">
        <v>10647</v>
      </c>
      <c r="E555" s="251" t="s">
        <v>976</v>
      </c>
      <c r="F555" s="242" t="s">
        <v>467</v>
      </c>
      <c r="G555" s="242" t="s">
        <v>468</v>
      </c>
      <c r="H555" s="242"/>
      <c r="I555" s="242">
        <v>0</v>
      </c>
      <c r="J555" s="262">
        <v>1</v>
      </c>
      <c r="K555" s="311">
        <v>41394.400000000001</v>
      </c>
      <c r="L555" s="263">
        <f t="shared" si="8"/>
        <v>41394.400000000001</v>
      </c>
    </row>
    <row r="556" spans="1:12" ht="15.75" x14ac:dyDescent="0.25">
      <c r="A556" s="7"/>
      <c r="B556" s="245">
        <v>45292</v>
      </c>
      <c r="C556" s="245">
        <v>45292</v>
      </c>
      <c r="D556" s="269">
        <v>983</v>
      </c>
      <c r="E556" s="251" t="s">
        <v>690</v>
      </c>
      <c r="F556" s="242" t="s">
        <v>467</v>
      </c>
      <c r="G556" s="242" t="s">
        <v>468</v>
      </c>
      <c r="H556" s="242"/>
      <c r="I556" s="242">
        <v>800</v>
      </c>
      <c r="J556" s="262">
        <v>3600</v>
      </c>
      <c r="K556" s="312">
        <v>6.1999999999999993</v>
      </c>
      <c r="L556" s="263">
        <f t="shared" si="8"/>
        <v>22319.999999999996</v>
      </c>
    </row>
    <row r="557" spans="1:12" ht="15.75" x14ac:dyDescent="0.25">
      <c r="A557" s="7"/>
      <c r="B557" s="245">
        <v>45292</v>
      </c>
      <c r="C557" s="245">
        <v>45292</v>
      </c>
      <c r="D557" s="269">
        <v>14201</v>
      </c>
      <c r="E557" s="251" t="s">
        <v>977</v>
      </c>
      <c r="F557" s="242" t="s">
        <v>467</v>
      </c>
      <c r="G557" s="242" t="s">
        <v>468</v>
      </c>
      <c r="H557" s="242"/>
      <c r="I557" s="242">
        <v>48</v>
      </c>
      <c r="J557" s="262">
        <v>564</v>
      </c>
      <c r="K557" s="312">
        <v>94.68</v>
      </c>
      <c r="L557" s="263">
        <f t="shared" si="8"/>
        <v>53399.520000000004</v>
      </c>
    </row>
    <row r="558" spans="1:12" ht="15.75" x14ac:dyDescent="0.25">
      <c r="A558" s="7"/>
      <c r="B558" s="245">
        <v>45292</v>
      </c>
      <c r="C558" s="245">
        <v>45292</v>
      </c>
      <c r="D558" s="269">
        <v>1203</v>
      </c>
      <c r="E558" s="251" t="s">
        <v>2392</v>
      </c>
      <c r="F558" s="242" t="s">
        <v>470</v>
      </c>
      <c r="G558" s="242" t="s">
        <v>478</v>
      </c>
      <c r="H558" s="242"/>
      <c r="I558" s="242">
        <v>0</v>
      </c>
      <c r="J558" s="262">
        <v>100</v>
      </c>
      <c r="K558" s="314">
        <v>32.270000000000003</v>
      </c>
      <c r="L558" s="263">
        <f t="shared" si="8"/>
        <v>3227.0000000000005</v>
      </c>
    </row>
    <row r="559" spans="1:12" ht="15.75" x14ac:dyDescent="0.25">
      <c r="A559" s="7"/>
      <c r="B559" s="245">
        <v>45292</v>
      </c>
      <c r="C559" s="245">
        <v>45292</v>
      </c>
      <c r="D559" s="269">
        <v>1197</v>
      </c>
      <c r="E559" s="251" t="s">
        <v>938</v>
      </c>
      <c r="F559" s="242" t="s">
        <v>470</v>
      </c>
      <c r="G559" s="242" t="s">
        <v>480</v>
      </c>
      <c r="H559" s="242"/>
      <c r="I559" s="242">
        <v>42</v>
      </c>
      <c r="J559" s="262">
        <v>8</v>
      </c>
      <c r="K559" s="312">
        <v>725</v>
      </c>
      <c r="L559" s="263">
        <f t="shared" si="8"/>
        <v>5800</v>
      </c>
    </row>
    <row r="560" spans="1:12" ht="15.75" x14ac:dyDescent="0.25">
      <c r="A560" s="7"/>
      <c r="B560" s="245">
        <v>45292</v>
      </c>
      <c r="C560" s="245">
        <v>45292</v>
      </c>
      <c r="D560" s="269">
        <v>5380</v>
      </c>
      <c r="E560" s="251" t="s">
        <v>817</v>
      </c>
      <c r="F560" s="242" t="s">
        <v>467</v>
      </c>
      <c r="G560" s="242" t="s">
        <v>468</v>
      </c>
      <c r="H560" s="242"/>
      <c r="I560" s="242">
        <v>0</v>
      </c>
      <c r="J560" s="262">
        <v>13</v>
      </c>
      <c r="K560" s="314">
        <v>1298</v>
      </c>
      <c r="L560" s="263">
        <f t="shared" si="8"/>
        <v>16874</v>
      </c>
    </row>
    <row r="561" spans="1:12" ht="15.75" x14ac:dyDescent="0.25">
      <c r="A561" s="7"/>
      <c r="B561" s="245">
        <v>45292</v>
      </c>
      <c r="C561" s="245">
        <v>45292</v>
      </c>
      <c r="D561" s="269">
        <v>1123</v>
      </c>
      <c r="E561" s="251" t="s">
        <v>824</v>
      </c>
      <c r="F561" s="242" t="s">
        <v>467</v>
      </c>
      <c r="G561" s="242" t="s">
        <v>468</v>
      </c>
      <c r="H561" s="242"/>
      <c r="I561" s="242">
        <v>4</v>
      </c>
      <c r="J561" s="262">
        <v>86</v>
      </c>
      <c r="K561" s="314">
        <v>66.490000000000009</v>
      </c>
      <c r="L561" s="263">
        <f t="shared" si="8"/>
        <v>5718.1400000000012</v>
      </c>
    </row>
    <row r="562" spans="1:12" ht="15.75" x14ac:dyDescent="0.25">
      <c r="A562" s="7"/>
      <c r="B562" s="245">
        <v>45322</v>
      </c>
      <c r="C562" s="245">
        <v>45322</v>
      </c>
      <c r="D562" s="269">
        <v>1127</v>
      </c>
      <c r="E562" s="251" t="s">
        <v>2531</v>
      </c>
      <c r="F562" s="242" t="s">
        <v>467</v>
      </c>
      <c r="G562" s="242" t="s">
        <v>468</v>
      </c>
      <c r="H562" s="242">
        <v>100</v>
      </c>
      <c r="I562" s="242">
        <v>15</v>
      </c>
      <c r="J562" s="262">
        <v>85</v>
      </c>
      <c r="K562" s="314">
        <v>46.52</v>
      </c>
      <c r="L562" s="263">
        <f t="shared" si="8"/>
        <v>3954.2000000000003</v>
      </c>
    </row>
    <row r="563" spans="1:12" ht="15.75" x14ac:dyDescent="0.25">
      <c r="A563" s="7"/>
      <c r="B563" s="245">
        <v>45292</v>
      </c>
      <c r="C563" s="245">
        <v>45292</v>
      </c>
      <c r="D563" s="269">
        <v>1445</v>
      </c>
      <c r="E563" s="251" t="s">
        <v>875</v>
      </c>
      <c r="F563" s="242" t="s">
        <v>467</v>
      </c>
      <c r="G563" s="242" t="s">
        <v>703</v>
      </c>
      <c r="H563" s="242"/>
      <c r="I563" s="242">
        <v>0</v>
      </c>
      <c r="J563" s="262">
        <v>38</v>
      </c>
      <c r="K563" s="311">
        <v>452.16999999999996</v>
      </c>
      <c r="L563" s="263">
        <f t="shared" si="8"/>
        <v>17182.46</v>
      </c>
    </row>
    <row r="564" spans="1:12" ht="15.75" x14ac:dyDescent="0.25">
      <c r="A564" s="7"/>
      <c r="B564" s="245">
        <v>45292</v>
      </c>
      <c r="C564" s="245">
        <v>45292</v>
      </c>
      <c r="D564" s="269">
        <v>1299</v>
      </c>
      <c r="E564" s="251" t="s">
        <v>978</v>
      </c>
      <c r="F564" s="242" t="s">
        <v>467</v>
      </c>
      <c r="G564" s="242" t="s">
        <v>468</v>
      </c>
      <c r="H564" s="242"/>
      <c r="I564" s="242">
        <v>20</v>
      </c>
      <c r="J564" s="262">
        <v>584</v>
      </c>
      <c r="K564" s="311">
        <v>324.66000000000003</v>
      </c>
      <c r="L564" s="263">
        <f t="shared" si="8"/>
        <v>189601.44</v>
      </c>
    </row>
    <row r="565" spans="1:12" ht="15.75" x14ac:dyDescent="0.25">
      <c r="A565" s="7"/>
      <c r="B565" s="245">
        <v>45292</v>
      </c>
      <c r="C565" s="245">
        <v>45292</v>
      </c>
      <c r="D565" s="269">
        <v>704</v>
      </c>
      <c r="E565" s="251" t="s">
        <v>2393</v>
      </c>
      <c r="F565" s="242" t="s">
        <v>472</v>
      </c>
      <c r="G565" s="242" t="s">
        <v>478</v>
      </c>
      <c r="H565" s="242"/>
      <c r="I565" s="242">
        <v>0</v>
      </c>
      <c r="J565" s="262">
        <v>408</v>
      </c>
      <c r="K565" s="311">
        <v>31.74</v>
      </c>
      <c r="L565" s="263">
        <f t="shared" si="8"/>
        <v>12949.92</v>
      </c>
    </row>
    <row r="566" spans="1:12" ht="15.75" x14ac:dyDescent="0.25">
      <c r="A566" s="7"/>
      <c r="B566" s="245">
        <v>45292</v>
      </c>
      <c r="C566" s="245">
        <v>45292</v>
      </c>
      <c r="D566" s="269">
        <v>786</v>
      </c>
      <c r="E566" s="251" t="s">
        <v>2394</v>
      </c>
      <c r="F566" s="242" t="s">
        <v>470</v>
      </c>
      <c r="G566" s="242" t="s">
        <v>474</v>
      </c>
      <c r="H566" s="242"/>
      <c r="I566" s="242">
        <v>15</v>
      </c>
      <c r="J566" s="262">
        <v>330</v>
      </c>
      <c r="K566" s="311">
        <v>145</v>
      </c>
      <c r="L566" s="263">
        <f t="shared" si="8"/>
        <v>47850</v>
      </c>
    </row>
    <row r="567" spans="1:12" ht="15.75" x14ac:dyDescent="0.25">
      <c r="A567" s="7"/>
      <c r="B567" s="245">
        <v>45292</v>
      </c>
      <c r="C567" s="245">
        <v>45292</v>
      </c>
      <c r="D567" s="269">
        <v>743</v>
      </c>
      <c r="E567" s="251" t="s">
        <v>1991</v>
      </c>
      <c r="F567" s="242" t="s">
        <v>470</v>
      </c>
      <c r="G567" s="242" t="s">
        <v>478</v>
      </c>
      <c r="H567" s="242"/>
      <c r="I567" s="242">
        <v>0</v>
      </c>
      <c r="J567" s="262">
        <v>150</v>
      </c>
      <c r="K567" s="312">
        <v>19.18</v>
      </c>
      <c r="L567" s="263">
        <f t="shared" si="8"/>
        <v>2877</v>
      </c>
    </row>
    <row r="568" spans="1:12" ht="15.75" x14ac:dyDescent="0.25">
      <c r="A568" s="7"/>
      <c r="B568" s="245">
        <v>45292</v>
      </c>
      <c r="C568" s="245">
        <v>45292</v>
      </c>
      <c r="D568" s="269">
        <v>721</v>
      </c>
      <c r="E568" s="251" t="s">
        <v>2395</v>
      </c>
      <c r="F568" s="242" t="s">
        <v>467</v>
      </c>
      <c r="G568" s="242" t="s">
        <v>468</v>
      </c>
      <c r="H568" s="242"/>
      <c r="I568" s="242">
        <v>0</v>
      </c>
      <c r="J568" s="262">
        <v>600</v>
      </c>
      <c r="K568" s="312">
        <v>2.77</v>
      </c>
      <c r="L568" s="263">
        <f t="shared" si="8"/>
        <v>1662</v>
      </c>
    </row>
    <row r="569" spans="1:12" ht="15.75" x14ac:dyDescent="0.25">
      <c r="A569" s="7"/>
      <c r="B569" s="245">
        <v>45292</v>
      </c>
      <c r="C569" s="245">
        <v>45292</v>
      </c>
      <c r="D569" s="269">
        <v>1402</v>
      </c>
      <c r="E569" s="251" t="s">
        <v>1992</v>
      </c>
      <c r="F569" s="242" t="s">
        <v>470</v>
      </c>
      <c r="G569" s="242" t="s">
        <v>468</v>
      </c>
      <c r="H569" s="242"/>
      <c r="I569" s="242">
        <v>0</v>
      </c>
      <c r="J569" s="262">
        <v>30</v>
      </c>
      <c r="K569" s="311">
        <v>9379.92</v>
      </c>
      <c r="L569" s="263">
        <f t="shared" si="8"/>
        <v>281397.59999999998</v>
      </c>
    </row>
    <row r="570" spans="1:12" ht="15.75" x14ac:dyDescent="0.25">
      <c r="A570" s="7"/>
      <c r="B570" s="245">
        <v>45292</v>
      </c>
      <c r="C570" s="245">
        <v>45292</v>
      </c>
      <c r="D570" s="269">
        <v>859</v>
      </c>
      <c r="E570" s="251" t="s">
        <v>1993</v>
      </c>
      <c r="F570" s="242" t="s">
        <v>470</v>
      </c>
      <c r="G570" s="242" t="s">
        <v>480</v>
      </c>
      <c r="H570" s="242"/>
      <c r="I570" s="242">
        <v>110</v>
      </c>
      <c r="J570" s="262">
        <v>525</v>
      </c>
      <c r="K570" s="311">
        <v>59.69</v>
      </c>
      <c r="L570" s="263">
        <f t="shared" si="8"/>
        <v>31337.25</v>
      </c>
    </row>
    <row r="571" spans="1:12" ht="15.75" x14ac:dyDescent="0.25">
      <c r="A571" s="7"/>
      <c r="B571" s="245">
        <v>45292</v>
      </c>
      <c r="C571" s="245">
        <v>45292</v>
      </c>
      <c r="D571" s="269">
        <v>871</v>
      </c>
      <c r="E571" s="251" t="s">
        <v>632</v>
      </c>
      <c r="F571" s="242" t="s">
        <v>470</v>
      </c>
      <c r="G571" s="242" t="s">
        <v>478</v>
      </c>
      <c r="H571" s="242"/>
      <c r="I571" s="242">
        <v>0</v>
      </c>
      <c r="J571" s="262">
        <v>200</v>
      </c>
      <c r="K571" s="311">
        <v>24.6</v>
      </c>
      <c r="L571" s="263">
        <f t="shared" si="8"/>
        <v>4920</v>
      </c>
    </row>
    <row r="572" spans="1:12" ht="15.75" x14ac:dyDescent="0.25">
      <c r="A572" s="7"/>
      <c r="B572" s="245">
        <v>45292</v>
      </c>
      <c r="C572" s="245">
        <v>45292</v>
      </c>
      <c r="D572" s="269">
        <v>958</v>
      </c>
      <c r="E572" s="251" t="s">
        <v>1994</v>
      </c>
      <c r="F572" s="242" t="s">
        <v>470</v>
      </c>
      <c r="G572" s="242" t="s">
        <v>474</v>
      </c>
      <c r="H572" s="242"/>
      <c r="I572" s="242">
        <v>0</v>
      </c>
      <c r="J572" s="262">
        <v>18</v>
      </c>
      <c r="K572" s="311">
        <v>2155</v>
      </c>
      <c r="L572" s="263">
        <f t="shared" si="8"/>
        <v>38790</v>
      </c>
    </row>
    <row r="573" spans="1:12" ht="15.75" x14ac:dyDescent="0.25">
      <c r="A573" s="7"/>
      <c r="B573" s="245">
        <v>45292</v>
      </c>
      <c r="C573" s="245">
        <v>45292</v>
      </c>
      <c r="D573" s="269">
        <v>5428</v>
      </c>
      <c r="E573" s="251" t="s">
        <v>1995</v>
      </c>
      <c r="F573" s="242" t="s">
        <v>470</v>
      </c>
      <c r="G573" s="242" t="s">
        <v>474</v>
      </c>
      <c r="H573" s="242"/>
      <c r="I573" s="242">
        <v>0</v>
      </c>
      <c r="J573" s="262">
        <v>100</v>
      </c>
      <c r="K573" s="313">
        <v>990</v>
      </c>
      <c r="L573" s="263">
        <f t="shared" si="8"/>
        <v>99000</v>
      </c>
    </row>
    <row r="574" spans="1:12" ht="15.75" x14ac:dyDescent="0.25">
      <c r="A574" s="7"/>
      <c r="B574" s="245">
        <v>45292</v>
      </c>
      <c r="C574" s="245">
        <v>45292</v>
      </c>
      <c r="D574" s="269">
        <v>978</v>
      </c>
      <c r="E574" s="251" t="s">
        <v>1996</v>
      </c>
      <c r="F574" s="242" t="s">
        <v>467</v>
      </c>
      <c r="G574" s="242" t="s">
        <v>474</v>
      </c>
      <c r="H574" s="242"/>
      <c r="I574" s="242">
        <v>0</v>
      </c>
      <c r="J574" s="262">
        <v>10</v>
      </c>
      <c r="K574" s="313">
        <v>1860</v>
      </c>
      <c r="L574" s="263">
        <f t="shared" si="8"/>
        <v>18600</v>
      </c>
    </row>
    <row r="575" spans="1:12" ht="15.75" x14ac:dyDescent="0.25">
      <c r="A575" s="7"/>
      <c r="B575" s="245">
        <v>45292</v>
      </c>
      <c r="C575" s="245">
        <v>45292</v>
      </c>
      <c r="D575" s="269">
        <v>1011</v>
      </c>
      <c r="E575" s="251" t="s">
        <v>1997</v>
      </c>
      <c r="F575" s="242" t="s">
        <v>470</v>
      </c>
      <c r="G575" s="242" t="s">
        <v>474</v>
      </c>
      <c r="H575" s="242"/>
      <c r="I575" s="242">
        <v>100</v>
      </c>
      <c r="J575" s="262">
        <v>100</v>
      </c>
      <c r="K575" s="313">
        <v>42</v>
      </c>
      <c r="L575" s="263">
        <f t="shared" si="8"/>
        <v>4200</v>
      </c>
    </row>
    <row r="576" spans="1:12" ht="15.75" x14ac:dyDescent="0.25">
      <c r="A576" s="7"/>
      <c r="B576" s="245">
        <v>45292</v>
      </c>
      <c r="C576" s="245">
        <v>45292</v>
      </c>
      <c r="D576" s="269">
        <v>1327</v>
      </c>
      <c r="E576" s="251" t="s">
        <v>2396</v>
      </c>
      <c r="F576" s="242" t="s">
        <v>467</v>
      </c>
      <c r="G576" s="242" t="s">
        <v>468</v>
      </c>
      <c r="H576" s="242"/>
      <c r="I576" s="242">
        <v>0</v>
      </c>
      <c r="J576" s="262">
        <v>20</v>
      </c>
      <c r="K576" s="313">
        <v>460.2</v>
      </c>
      <c r="L576" s="263">
        <f t="shared" si="8"/>
        <v>9204</v>
      </c>
    </row>
    <row r="577" spans="1:12" ht="15.75" x14ac:dyDescent="0.25">
      <c r="A577" s="7"/>
      <c r="B577" s="245">
        <v>45292</v>
      </c>
      <c r="C577" s="245">
        <v>45292</v>
      </c>
      <c r="D577" s="269">
        <v>5353</v>
      </c>
      <c r="E577" s="251" t="s">
        <v>979</v>
      </c>
      <c r="F577" s="242" t="s">
        <v>467</v>
      </c>
      <c r="G577" s="242" t="s">
        <v>468</v>
      </c>
      <c r="H577" s="242"/>
      <c r="I577" s="242">
        <v>42</v>
      </c>
      <c r="J577" s="262">
        <v>612</v>
      </c>
      <c r="K577" s="313">
        <v>208.33</v>
      </c>
      <c r="L577" s="263">
        <f t="shared" si="8"/>
        <v>127497.96</v>
      </c>
    </row>
    <row r="578" spans="1:12" ht="15.75" x14ac:dyDescent="0.25">
      <c r="A578" s="7"/>
      <c r="B578" s="245">
        <v>45292</v>
      </c>
      <c r="C578" s="245">
        <v>45292</v>
      </c>
      <c r="D578" s="269">
        <v>1301</v>
      </c>
      <c r="E578" s="251" t="s">
        <v>980</v>
      </c>
      <c r="F578" s="242" t="s">
        <v>467</v>
      </c>
      <c r="G578" s="242" t="s">
        <v>468</v>
      </c>
      <c r="H578" s="242"/>
      <c r="I578" s="242">
        <v>120</v>
      </c>
      <c r="J578" s="262">
        <v>84</v>
      </c>
      <c r="K578" s="313">
        <v>241</v>
      </c>
      <c r="L578" s="263">
        <f t="shared" si="8"/>
        <v>20244</v>
      </c>
    </row>
    <row r="579" spans="1:12" ht="15.75" x14ac:dyDescent="0.25">
      <c r="A579" s="7"/>
      <c r="B579" s="245">
        <v>45292</v>
      </c>
      <c r="C579" s="245">
        <v>45292</v>
      </c>
      <c r="D579" s="269">
        <v>1049</v>
      </c>
      <c r="E579" s="251" t="s">
        <v>2397</v>
      </c>
      <c r="F579" s="242" t="s">
        <v>467</v>
      </c>
      <c r="G579" s="242" t="s">
        <v>468</v>
      </c>
      <c r="H579" s="242"/>
      <c r="I579" s="242">
        <v>36</v>
      </c>
      <c r="J579" s="262">
        <v>180</v>
      </c>
      <c r="K579" s="313">
        <v>237.9</v>
      </c>
      <c r="L579" s="263">
        <f t="shared" si="8"/>
        <v>42822</v>
      </c>
    </row>
    <row r="580" spans="1:12" ht="15.75" x14ac:dyDescent="0.25">
      <c r="A580" s="7"/>
      <c r="B580" s="245">
        <v>45292</v>
      </c>
      <c r="C580" s="245">
        <v>45292</v>
      </c>
      <c r="D580" s="269">
        <v>19150</v>
      </c>
      <c r="E580" s="251" t="s">
        <v>1998</v>
      </c>
      <c r="F580" s="242" t="s">
        <v>467</v>
      </c>
      <c r="G580" s="242" t="s">
        <v>468</v>
      </c>
      <c r="H580" s="242"/>
      <c r="I580" s="242">
        <v>0</v>
      </c>
      <c r="J580" s="262">
        <v>1</v>
      </c>
      <c r="K580" s="313">
        <v>9033.4120000000003</v>
      </c>
      <c r="L580" s="263">
        <f t="shared" si="8"/>
        <v>9033.4120000000003</v>
      </c>
    </row>
    <row r="581" spans="1:12" ht="15.75" x14ac:dyDescent="0.25">
      <c r="A581" s="7"/>
      <c r="B581" s="245">
        <v>45292</v>
      </c>
      <c r="C581" s="245">
        <v>45292</v>
      </c>
      <c r="D581" s="269">
        <v>1517</v>
      </c>
      <c r="E581" s="251" t="s">
        <v>2398</v>
      </c>
      <c r="F581" s="242" t="s">
        <v>467</v>
      </c>
      <c r="G581" s="242" t="s">
        <v>468</v>
      </c>
      <c r="H581" s="242"/>
      <c r="I581" s="242">
        <v>100</v>
      </c>
      <c r="J581" s="262">
        <v>200</v>
      </c>
      <c r="K581" s="313">
        <v>20.170000000000002</v>
      </c>
      <c r="L581" s="263">
        <f t="shared" si="8"/>
        <v>4034.0000000000005</v>
      </c>
    </row>
    <row r="582" spans="1:12" ht="15.75" x14ac:dyDescent="0.25">
      <c r="A582" s="7"/>
      <c r="B582" s="245">
        <v>45292</v>
      </c>
      <c r="C582" s="245">
        <v>45292</v>
      </c>
      <c r="D582" s="269">
        <v>1114</v>
      </c>
      <c r="E582" s="251" t="s">
        <v>2532</v>
      </c>
      <c r="F582" s="242" t="s">
        <v>470</v>
      </c>
      <c r="G582" s="242" t="s">
        <v>478</v>
      </c>
      <c r="H582" s="242">
        <v>200</v>
      </c>
      <c r="I582" s="242">
        <v>0</v>
      </c>
      <c r="J582" s="262">
        <v>200</v>
      </c>
      <c r="K582" s="313">
        <v>0.41</v>
      </c>
      <c r="L582" s="263">
        <f t="shared" si="8"/>
        <v>82</v>
      </c>
    </row>
    <row r="583" spans="1:12" ht="15.75" x14ac:dyDescent="0.25">
      <c r="A583" s="7"/>
      <c r="B583" s="245">
        <v>45292</v>
      </c>
      <c r="C583" s="245">
        <v>45292</v>
      </c>
      <c r="D583" s="269">
        <v>18307</v>
      </c>
      <c r="E583" s="251" t="s">
        <v>1999</v>
      </c>
      <c r="F583" s="242" t="s">
        <v>467</v>
      </c>
      <c r="G583" s="242" t="s">
        <v>468</v>
      </c>
      <c r="H583" s="242"/>
      <c r="I583" s="242">
        <v>0</v>
      </c>
      <c r="J583" s="262">
        <v>12</v>
      </c>
      <c r="K583" s="313">
        <v>1298</v>
      </c>
      <c r="L583" s="263">
        <f t="shared" si="8"/>
        <v>15576</v>
      </c>
    </row>
    <row r="584" spans="1:12" ht="15.75" x14ac:dyDescent="0.25">
      <c r="A584" s="7"/>
      <c r="B584" s="245">
        <v>45292</v>
      </c>
      <c r="C584" s="245">
        <v>45292</v>
      </c>
      <c r="D584" s="269">
        <v>1397</v>
      </c>
      <c r="E584" s="251" t="s">
        <v>2533</v>
      </c>
      <c r="F584" s="242" t="s">
        <v>470</v>
      </c>
      <c r="G584" s="242" t="s">
        <v>478</v>
      </c>
      <c r="H584" s="242">
        <v>300</v>
      </c>
      <c r="I584" s="242">
        <v>60</v>
      </c>
      <c r="J584" s="262">
        <v>240</v>
      </c>
      <c r="K584" s="313">
        <v>48</v>
      </c>
      <c r="L584" s="263">
        <f t="shared" si="8"/>
        <v>11520</v>
      </c>
    </row>
    <row r="585" spans="1:12" ht="15.75" x14ac:dyDescent="0.25">
      <c r="A585" s="7"/>
      <c r="B585" s="245">
        <v>45292</v>
      </c>
      <c r="C585" s="245">
        <v>45292</v>
      </c>
      <c r="D585" s="269">
        <v>1446</v>
      </c>
      <c r="E585" s="251" t="s">
        <v>2000</v>
      </c>
      <c r="F585" s="242" t="s">
        <v>470</v>
      </c>
      <c r="G585" s="242" t="s">
        <v>480</v>
      </c>
      <c r="H585" s="242">
        <v>50</v>
      </c>
      <c r="I585" s="242">
        <v>0</v>
      </c>
      <c r="J585" s="262">
        <v>80</v>
      </c>
      <c r="K585" s="313">
        <v>37.79</v>
      </c>
      <c r="L585" s="263">
        <f t="shared" si="8"/>
        <v>3023.2</v>
      </c>
    </row>
    <row r="586" spans="1:12" ht="15.75" x14ac:dyDescent="0.25">
      <c r="A586" s="7"/>
      <c r="B586" s="245">
        <v>45292</v>
      </c>
      <c r="C586" s="245">
        <v>45292</v>
      </c>
      <c r="D586" s="269">
        <v>5798</v>
      </c>
      <c r="E586" s="251" t="s">
        <v>2399</v>
      </c>
      <c r="F586" s="242" t="s">
        <v>470</v>
      </c>
      <c r="G586" s="242" t="s">
        <v>474</v>
      </c>
      <c r="H586" s="242"/>
      <c r="I586" s="242">
        <v>0</v>
      </c>
      <c r="J586" s="262">
        <v>40</v>
      </c>
      <c r="K586" s="313">
        <v>55.75</v>
      </c>
      <c r="L586" s="263">
        <f t="shared" si="8"/>
        <v>2230</v>
      </c>
    </row>
    <row r="587" spans="1:12" ht="15.75" x14ac:dyDescent="0.25">
      <c r="A587" s="7"/>
      <c r="B587" s="245">
        <v>45292</v>
      </c>
      <c r="C587" s="245">
        <v>45292</v>
      </c>
      <c r="D587" s="269">
        <v>1177</v>
      </c>
      <c r="E587" s="251" t="s">
        <v>2001</v>
      </c>
      <c r="F587" s="242" t="s">
        <v>470</v>
      </c>
      <c r="G587" s="242" t="s">
        <v>478</v>
      </c>
      <c r="H587" s="242"/>
      <c r="I587" s="242">
        <v>0</v>
      </c>
      <c r="J587" s="262">
        <v>100</v>
      </c>
      <c r="K587" s="313">
        <v>0.49</v>
      </c>
      <c r="L587" s="263">
        <f t="shared" si="8"/>
        <v>49</v>
      </c>
    </row>
    <row r="588" spans="1:12" ht="15.75" x14ac:dyDescent="0.25">
      <c r="A588" s="7"/>
      <c r="B588" s="245">
        <v>45292</v>
      </c>
      <c r="C588" s="245">
        <v>45292</v>
      </c>
      <c r="D588" s="269">
        <v>19728</v>
      </c>
      <c r="E588" s="251" t="s">
        <v>2002</v>
      </c>
      <c r="F588" s="242" t="s">
        <v>470</v>
      </c>
      <c r="G588" s="242" t="s">
        <v>468</v>
      </c>
      <c r="H588" s="242"/>
      <c r="I588" s="242">
        <v>0</v>
      </c>
      <c r="J588" s="262">
        <v>200</v>
      </c>
      <c r="K588" s="313">
        <v>30.25</v>
      </c>
      <c r="L588" s="263">
        <f t="shared" si="8"/>
        <v>6050</v>
      </c>
    </row>
    <row r="589" spans="1:12" ht="15.75" x14ac:dyDescent="0.25">
      <c r="A589" s="7"/>
      <c r="B589" s="245">
        <v>45292</v>
      </c>
      <c r="C589" s="245">
        <v>45292</v>
      </c>
      <c r="D589" s="269">
        <v>872</v>
      </c>
      <c r="E589" s="251" t="s">
        <v>2534</v>
      </c>
      <c r="F589" s="242" t="s">
        <v>470</v>
      </c>
      <c r="G589" s="242" t="s">
        <v>480</v>
      </c>
      <c r="H589" s="242">
        <v>80</v>
      </c>
      <c r="I589" s="242">
        <v>14</v>
      </c>
      <c r="J589" s="262">
        <v>66</v>
      </c>
      <c r="K589" s="313">
        <v>788</v>
      </c>
      <c r="L589" s="263">
        <f t="shared" si="8"/>
        <v>52008</v>
      </c>
    </row>
    <row r="590" spans="1:12" ht="15.75" x14ac:dyDescent="0.25">
      <c r="A590" s="7"/>
      <c r="B590" s="245">
        <v>45292</v>
      </c>
      <c r="C590" s="245">
        <v>45292</v>
      </c>
      <c r="D590" s="269">
        <v>21607</v>
      </c>
      <c r="E590" s="251" t="s">
        <v>2400</v>
      </c>
      <c r="F590" s="242" t="s">
        <v>467</v>
      </c>
      <c r="G590" s="242" t="s">
        <v>468</v>
      </c>
      <c r="H590" s="242"/>
      <c r="I590" s="242">
        <v>2</v>
      </c>
      <c r="J590" s="262">
        <v>1</v>
      </c>
      <c r="K590" s="313">
        <v>59500</v>
      </c>
      <c r="L590" s="263">
        <f t="shared" ref="L590:L598" si="9">+K590*J590</f>
        <v>59500</v>
      </c>
    </row>
    <row r="591" spans="1:12" ht="15.75" x14ac:dyDescent="0.25">
      <c r="A591" s="7"/>
      <c r="B591" s="245">
        <v>45292</v>
      </c>
      <c r="C591" s="245">
        <v>45292</v>
      </c>
      <c r="D591" s="269">
        <v>6403</v>
      </c>
      <c r="E591" s="251" t="s">
        <v>2401</v>
      </c>
      <c r="F591" s="242" t="s">
        <v>469</v>
      </c>
      <c r="G591" s="242" t="s">
        <v>480</v>
      </c>
      <c r="H591" s="242">
        <v>300</v>
      </c>
      <c r="I591" s="242">
        <v>40</v>
      </c>
      <c r="J591" s="262">
        <v>410</v>
      </c>
      <c r="K591" s="313">
        <v>310.07</v>
      </c>
      <c r="L591" s="263">
        <f t="shared" si="9"/>
        <v>127128.7</v>
      </c>
    </row>
    <row r="592" spans="1:12" ht="15.75" x14ac:dyDescent="0.25">
      <c r="A592" s="7"/>
      <c r="B592" s="245">
        <v>45292</v>
      </c>
      <c r="C592" s="245">
        <v>45292</v>
      </c>
      <c r="D592" s="269">
        <v>1297</v>
      </c>
      <c r="E592" s="251" t="s">
        <v>2003</v>
      </c>
      <c r="F592" s="242" t="s">
        <v>469</v>
      </c>
      <c r="G592" s="242" t="s">
        <v>480</v>
      </c>
      <c r="H592" s="242"/>
      <c r="I592" s="242">
        <v>0</v>
      </c>
      <c r="J592" s="262">
        <v>144</v>
      </c>
      <c r="K592" s="313">
        <v>445</v>
      </c>
      <c r="L592" s="263">
        <f t="shared" si="9"/>
        <v>64080</v>
      </c>
    </row>
    <row r="593" spans="1:12" ht="15.75" x14ac:dyDescent="0.25">
      <c r="A593" s="7"/>
      <c r="B593" s="245">
        <v>45292</v>
      </c>
      <c r="C593" s="245">
        <v>45292</v>
      </c>
      <c r="D593" s="269">
        <v>879</v>
      </c>
      <c r="E593" s="251" t="s">
        <v>2402</v>
      </c>
      <c r="F593" s="242" t="s">
        <v>469</v>
      </c>
      <c r="G593" s="242" t="s">
        <v>480</v>
      </c>
      <c r="H593" s="242"/>
      <c r="I593" s="242">
        <v>0</v>
      </c>
      <c r="J593" s="262">
        <v>24</v>
      </c>
      <c r="K593" s="313">
        <v>59.17</v>
      </c>
      <c r="L593" s="263">
        <f t="shared" si="9"/>
        <v>1420.08</v>
      </c>
    </row>
    <row r="594" spans="1:12" ht="15.75" x14ac:dyDescent="0.25">
      <c r="A594" s="7"/>
      <c r="B594" s="245">
        <v>45292</v>
      </c>
      <c r="C594" s="245">
        <v>45292</v>
      </c>
      <c r="D594" s="269">
        <v>12884</v>
      </c>
      <c r="E594" s="251" t="s">
        <v>2403</v>
      </c>
      <c r="F594" s="242" t="s">
        <v>469</v>
      </c>
      <c r="G594" s="242" t="s">
        <v>468</v>
      </c>
      <c r="H594" s="242"/>
      <c r="I594" s="242">
        <v>0</v>
      </c>
      <c r="J594" s="262">
        <v>4</v>
      </c>
      <c r="K594" s="313">
        <v>10950</v>
      </c>
      <c r="L594" s="263">
        <f t="shared" si="9"/>
        <v>43800</v>
      </c>
    </row>
    <row r="595" spans="1:12" ht="15.75" x14ac:dyDescent="0.25">
      <c r="A595" s="7"/>
      <c r="B595" s="245">
        <v>45292</v>
      </c>
      <c r="C595" s="245">
        <v>45292</v>
      </c>
      <c r="D595" s="269">
        <v>5362</v>
      </c>
      <c r="E595" s="251" t="s">
        <v>2004</v>
      </c>
      <c r="F595" s="242" t="s">
        <v>467</v>
      </c>
      <c r="G595" s="242" t="s">
        <v>468</v>
      </c>
      <c r="H595" s="242"/>
      <c r="I595" s="242">
        <v>48</v>
      </c>
      <c r="J595" s="262">
        <v>264</v>
      </c>
      <c r="K595" s="313">
        <v>78</v>
      </c>
      <c r="L595" s="263">
        <f t="shared" si="9"/>
        <v>20592</v>
      </c>
    </row>
    <row r="596" spans="1:12" ht="15.75" x14ac:dyDescent="0.25">
      <c r="A596" s="7"/>
      <c r="B596" s="245">
        <v>45292</v>
      </c>
      <c r="C596" s="245">
        <v>45292</v>
      </c>
      <c r="D596" s="269">
        <v>17709</v>
      </c>
      <c r="E596" s="251" t="s">
        <v>2005</v>
      </c>
      <c r="F596" s="242" t="s">
        <v>470</v>
      </c>
      <c r="G596" s="242" t="s">
        <v>478</v>
      </c>
      <c r="H596" s="242"/>
      <c r="I596" s="242">
        <v>0</v>
      </c>
      <c r="J596" s="262">
        <v>200</v>
      </c>
      <c r="K596" s="313">
        <v>38.520000000000003</v>
      </c>
      <c r="L596" s="263">
        <f t="shared" si="9"/>
        <v>7704.0000000000009</v>
      </c>
    </row>
    <row r="597" spans="1:12" ht="15.75" x14ac:dyDescent="0.25">
      <c r="A597" s="7"/>
      <c r="B597" s="245">
        <v>45292</v>
      </c>
      <c r="C597" s="245">
        <v>45292</v>
      </c>
      <c r="D597" s="269">
        <v>1458</v>
      </c>
      <c r="E597" s="251" t="s">
        <v>2006</v>
      </c>
      <c r="F597" s="242" t="s">
        <v>470</v>
      </c>
      <c r="G597" s="242" t="s">
        <v>480</v>
      </c>
      <c r="H597" s="242"/>
      <c r="I597" s="242">
        <v>42</v>
      </c>
      <c r="J597" s="262">
        <v>180</v>
      </c>
      <c r="K597" s="313">
        <v>1650</v>
      </c>
      <c r="L597" s="263">
        <f t="shared" si="9"/>
        <v>297000</v>
      </c>
    </row>
    <row r="598" spans="1:12" ht="15.75" x14ac:dyDescent="0.25">
      <c r="A598" s="7"/>
      <c r="B598" s="245">
        <v>45292</v>
      </c>
      <c r="C598" s="245">
        <v>45292</v>
      </c>
      <c r="D598" s="269">
        <v>9603</v>
      </c>
      <c r="E598" s="251" t="s">
        <v>2535</v>
      </c>
      <c r="F598" s="242" t="s">
        <v>472</v>
      </c>
      <c r="G598" s="242" t="s">
        <v>478</v>
      </c>
      <c r="H598" s="242">
        <v>100</v>
      </c>
      <c r="I598" s="242">
        <v>0</v>
      </c>
      <c r="J598" s="262">
        <v>100</v>
      </c>
      <c r="K598" s="313">
        <v>23</v>
      </c>
      <c r="L598" s="263">
        <f t="shared" si="9"/>
        <v>2300</v>
      </c>
    </row>
    <row r="599" spans="1:12" ht="16.5" thickBo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253"/>
      <c r="L599" s="254"/>
    </row>
    <row r="600" spans="1:12" ht="21.75" thickBo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253"/>
      <c r="L600" s="319">
        <f>SUM(L13:L599)</f>
        <v>82757052.567999989</v>
      </c>
    </row>
    <row r="601" spans="1:12" ht="15.75" x14ac:dyDescent="0.25">
      <c r="A601" s="7"/>
      <c r="B601" s="7"/>
      <c r="C601" s="7"/>
      <c r="D601" s="7"/>
      <c r="E601" s="7"/>
      <c r="F601" s="238"/>
      <c r="G601" s="7"/>
      <c r="H601" s="7"/>
      <c r="I601" s="7"/>
      <c r="J601" s="7"/>
      <c r="K601" s="7"/>
      <c r="L601" s="247"/>
    </row>
    <row r="602" spans="1:12" ht="15.75" x14ac:dyDescent="0.25">
      <c r="A602" s="7"/>
      <c r="B602" s="7"/>
      <c r="C602" s="7"/>
      <c r="D602" s="7"/>
      <c r="E602" s="7"/>
      <c r="F602" s="238"/>
      <c r="G602" s="7"/>
      <c r="H602" s="7"/>
      <c r="I602" s="7"/>
      <c r="J602" s="7"/>
      <c r="K602" s="7"/>
      <c r="L602" s="247"/>
    </row>
    <row r="603" spans="1:12" ht="15.75" x14ac:dyDescent="0.25">
      <c r="A603" s="7"/>
      <c r="B603" s="7"/>
      <c r="C603" s="7"/>
      <c r="D603" s="7"/>
      <c r="E603" s="7"/>
      <c r="F603" s="238"/>
      <c r="G603" s="7"/>
      <c r="H603" s="7"/>
      <c r="I603" s="7"/>
      <c r="J603" s="7"/>
      <c r="K603" s="7"/>
      <c r="L603" s="247"/>
    </row>
    <row r="604" spans="1:12" ht="15.75" x14ac:dyDescent="0.25">
      <c r="A604" s="7"/>
      <c r="B604" s="7"/>
      <c r="C604" s="7"/>
      <c r="D604" s="7"/>
      <c r="E604" s="7"/>
      <c r="F604" s="238"/>
      <c r="G604" s="7"/>
      <c r="H604" s="7"/>
      <c r="I604" s="7"/>
      <c r="J604" s="7"/>
      <c r="K604" s="7"/>
      <c r="L604" s="247"/>
    </row>
    <row r="605" spans="1:12" ht="15.75" x14ac:dyDescent="0.25">
      <c r="A605" s="7"/>
      <c r="B605" s="7"/>
      <c r="C605" s="7"/>
      <c r="D605" s="7"/>
      <c r="E605" s="7"/>
      <c r="F605" s="443"/>
      <c r="G605" s="443"/>
      <c r="H605" s="443"/>
      <c r="I605" s="7"/>
      <c r="J605" s="7"/>
      <c r="K605" s="7"/>
      <c r="L605" s="247"/>
    </row>
    <row r="606" spans="1:12" ht="15.75" x14ac:dyDescent="0.25">
      <c r="A606" s="7"/>
      <c r="B606" s="7"/>
      <c r="C606" s="7"/>
      <c r="D606" s="7"/>
      <c r="E606" s="7"/>
      <c r="F606" s="443"/>
      <c r="G606" s="443"/>
      <c r="H606" s="443"/>
      <c r="I606" s="7"/>
      <c r="J606" s="7"/>
      <c r="K606" s="7"/>
      <c r="L606" s="247"/>
    </row>
    <row r="607" spans="1:12" ht="15.75" x14ac:dyDescent="0.25">
      <c r="A607" s="7"/>
      <c r="B607" s="7"/>
      <c r="C607" s="7"/>
      <c r="D607" s="7"/>
      <c r="E607" s="7"/>
      <c r="F607" s="443"/>
      <c r="G607" s="443"/>
      <c r="H607" s="443"/>
      <c r="I607" s="7"/>
      <c r="J607" s="7"/>
      <c r="K607" s="7"/>
      <c r="L607" s="247"/>
    </row>
    <row r="608" spans="1:12" ht="15.75" x14ac:dyDescent="0.25">
      <c r="A608" s="7"/>
      <c r="B608" s="7"/>
      <c r="C608" s="7"/>
      <c r="D608" s="7"/>
      <c r="E608" s="7"/>
      <c r="F608" s="443"/>
      <c r="G608" s="443"/>
      <c r="H608" s="443"/>
      <c r="I608" s="7"/>
      <c r="J608" s="7"/>
      <c r="K608" s="7"/>
      <c r="L608" s="247"/>
    </row>
    <row r="609" spans="1:12" ht="15.75" x14ac:dyDescent="0.25">
      <c r="A609" s="7"/>
      <c r="B609" s="7"/>
      <c r="C609" s="7"/>
      <c r="D609" s="7"/>
      <c r="E609" s="7"/>
      <c r="F609" s="443"/>
      <c r="G609" s="443"/>
      <c r="H609" s="443"/>
      <c r="I609" s="7"/>
      <c r="J609" s="7"/>
      <c r="K609" s="7"/>
      <c r="L609" s="247"/>
    </row>
    <row r="610" spans="1:12" ht="15.75" x14ac:dyDescent="0.25">
      <c r="A610" s="7"/>
      <c r="B610" s="7"/>
      <c r="C610" s="7"/>
      <c r="D610" s="7"/>
      <c r="E610" s="436" t="s">
        <v>2404</v>
      </c>
      <c r="F610" s="436"/>
      <c r="G610" s="436"/>
      <c r="H610" s="315"/>
      <c r="I610" s="7"/>
      <c r="J610" s="7"/>
      <c r="K610" s="7"/>
      <c r="L610" s="247"/>
    </row>
    <row r="611" spans="1:12" x14ac:dyDescent="0.25">
      <c r="A611" s="7"/>
      <c r="B611" s="436" t="s">
        <v>2405</v>
      </c>
      <c r="C611" s="436"/>
      <c r="D611" s="436"/>
      <c r="E611" s="436"/>
      <c r="F611" s="436"/>
      <c r="G611" s="436"/>
      <c r="H611" s="315"/>
      <c r="I611" s="290"/>
      <c r="J611" s="436" t="s">
        <v>2007</v>
      </c>
      <c r="K611" s="436"/>
      <c r="L611" s="436"/>
    </row>
    <row r="612" spans="1:12" x14ac:dyDescent="0.25">
      <c r="A612" s="7"/>
      <c r="B612" s="437" t="s">
        <v>1247</v>
      </c>
      <c r="C612" s="437"/>
      <c r="D612" s="437"/>
      <c r="E612" s="437" t="s">
        <v>2406</v>
      </c>
      <c r="F612" s="437"/>
      <c r="G612" s="437"/>
      <c r="H612" s="315"/>
      <c r="I612" s="291"/>
      <c r="J612" s="437" t="s">
        <v>147</v>
      </c>
      <c r="K612" s="437"/>
      <c r="L612" s="437"/>
    </row>
    <row r="613" spans="1:12" ht="15.75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247"/>
    </row>
    <row r="614" spans="1:12" ht="15.75" x14ac:dyDescent="0.25">
      <c r="B614" s="1"/>
      <c r="C614" s="1"/>
      <c r="D614" s="1"/>
      <c r="E614" s="1"/>
      <c r="F614" s="238"/>
      <c r="G614" s="1"/>
      <c r="H614" s="1"/>
      <c r="I614" s="1"/>
      <c r="J614" s="239"/>
      <c r="K614" s="1"/>
    </row>
    <row r="615" spans="1:12" ht="15.75" x14ac:dyDescent="0.25">
      <c r="B615" s="1"/>
      <c r="C615" s="1"/>
      <c r="D615" s="1"/>
      <c r="E615" s="1"/>
      <c r="F615" s="238"/>
      <c r="G615" s="1"/>
      <c r="H615" s="1"/>
      <c r="I615" s="1"/>
      <c r="J615" s="239"/>
      <c r="K615" s="1"/>
    </row>
    <row r="616" spans="1:12" ht="15.75" x14ac:dyDescent="0.25">
      <c r="B616" s="1"/>
      <c r="C616" s="1"/>
      <c r="D616" s="1"/>
      <c r="E616" s="1"/>
      <c r="F616" s="238"/>
      <c r="G616" s="1"/>
      <c r="H616" s="1"/>
      <c r="I616" s="1"/>
      <c r="J616" s="239"/>
      <c r="K616" s="1"/>
    </row>
    <row r="617" spans="1:12" ht="15.75" x14ac:dyDescent="0.25">
      <c r="B617" s="264"/>
      <c r="C617" s="264"/>
      <c r="D617" s="238"/>
      <c r="E617" s="265"/>
      <c r="F617" s="238"/>
      <c r="G617" s="238"/>
      <c r="H617" s="252"/>
      <c r="I617" s="253"/>
      <c r="J617" s="254"/>
    </row>
    <row r="618" spans="1:12" ht="15.75" x14ac:dyDescent="0.25">
      <c r="B618" s="264"/>
      <c r="C618" s="264"/>
      <c r="D618" s="238"/>
      <c r="E618" s="265"/>
      <c r="F618" s="238"/>
      <c r="G618" s="238"/>
      <c r="H618" s="252"/>
      <c r="I618" s="253"/>
      <c r="J618" s="254"/>
    </row>
    <row r="619" spans="1:12" ht="15.75" x14ac:dyDescent="0.25">
      <c r="B619" s="264"/>
      <c r="C619" s="264"/>
      <c r="D619" s="238"/>
      <c r="E619" s="265"/>
      <c r="F619" s="238"/>
      <c r="G619" s="238"/>
      <c r="H619" s="252"/>
      <c r="I619" s="253"/>
      <c r="J619" s="254"/>
    </row>
    <row r="620" spans="1:12" ht="15.75" x14ac:dyDescent="0.25">
      <c r="B620" s="264"/>
      <c r="C620" s="264"/>
      <c r="D620" s="238"/>
      <c r="E620" s="1"/>
      <c r="F620" s="238"/>
      <c r="G620" s="238"/>
      <c r="H620" s="252"/>
      <c r="I620" s="253"/>
      <c r="J620" s="254"/>
    </row>
    <row r="621" spans="1:12" ht="15.75" x14ac:dyDescent="0.25">
      <c r="B621" s="264"/>
      <c r="C621" s="264"/>
      <c r="D621" s="238"/>
      <c r="E621" s="265"/>
      <c r="F621" s="238"/>
      <c r="G621" s="238"/>
      <c r="H621" s="252"/>
      <c r="I621" s="253"/>
      <c r="J621" s="254"/>
    </row>
    <row r="622" spans="1:12" ht="15.75" x14ac:dyDescent="0.25">
      <c r="B622" s="264"/>
      <c r="C622" s="264"/>
      <c r="D622" s="238"/>
      <c r="E622" s="265"/>
      <c r="F622" s="238"/>
      <c r="G622" s="238"/>
      <c r="H622" s="252"/>
      <c r="I622" s="253"/>
      <c r="J622" s="254"/>
    </row>
    <row r="623" spans="1:12" ht="15.75" x14ac:dyDescent="0.25">
      <c r="B623" s="264"/>
      <c r="C623" s="264"/>
      <c r="D623" s="238"/>
      <c r="E623" s="1"/>
      <c r="F623" s="238"/>
      <c r="G623" s="238"/>
      <c r="H623" s="252"/>
      <c r="I623" s="253"/>
      <c r="J623" s="254"/>
    </row>
    <row r="624" spans="1:12" ht="15.75" x14ac:dyDescent="0.25">
      <c r="B624" s="264"/>
      <c r="C624" s="264"/>
      <c r="D624" s="238"/>
      <c r="E624" s="265"/>
      <c r="F624" s="238"/>
      <c r="G624" s="238"/>
      <c r="H624" s="252"/>
      <c r="I624" s="253"/>
      <c r="J624" s="254"/>
    </row>
    <row r="625" spans="2:10" ht="15.75" x14ac:dyDescent="0.25">
      <c r="B625" s="264"/>
      <c r="C625" s="264"/>
      <c r="D625" s="238"/>
      <c r="E625" s="265"/>
      <c r="F625" s="238"/>
      <c r="G625" s="238"/>
      <c r="H625" s="252"/>
      <c r="I625" s="253"/>
      <c r="J625" s="254"/>
    </row>
    <row r="626" spans="2:10" ht="15.75" x14ac:dyDescent="0.25">
      <c r="B626" s="264"/>
      <c r="C626" s="264"/>
      <c r="D626" s="238"/>
      <c r="E626" s="265"/>
      <c r="F626" s="238"/>
      <c r="G626" s="238"/>
      <c r="H626" s="252"/>
      <c r="I626" s="253"/>
      <c r="J626" s="254"/>
    </row>
    <row r="627" spans="2:10" ht="15.75" x14ac:dyDescent="0.25">
      <c r="B627" s="264"/>
      <c r="C627" s="264"/>
      <c r="D627" s="238"/>
      <c r="E627" s="265"/>
      <c r="F627" s="238"/>
      <c r="G627" s="238"/>
      <c r="H627" s="252"/>
      <c r="I627" s="253"/>
      <c r="J627" s="254"/>
    </row>
    <row r="628" spans="2:10" ht="15.75" x14ac:dyDescent="0.25">
      <c r="B628" s="264"/>
      <c r="C628" s="264"/>
      <c r="D628" s="238"/>
      <c r="E628" s="1"/>
      <c r="F628" s="238"/>
      <c r="G628" s="238"/>
      <c r="H628" s="252"/>
      <c r="I628" s="253"/>
      <c r="J628" s="254"/>
    </row>
    <row r="629" spans="2:10" ht="15.75" x14ac:dyDescent="0.25">
      <c r="B629" s="264"/>
      <c r="C629" s="264"/>
      <c r="D629" s="238"/>
      <c r="E629" s="265"/>
      <c r="F629" s="238"/>
      <c r="G629" s="238"/>
      <c r="H629" s="252"/>
      <c r="I629" s="253"/>
      <c r="J629" s="254"/>
    </row>
    <row r="630" spans="2:10" ht="15.75" x14ac:dyDescent="0.25">
      <c r="B630" s="264"/>
      <c r="C630" s="264"/>
      <c r="D630" s="238"/>
      <c r="E630" s="265"/>
      <c r="F630" s="238"/>
      <c r="G630" s="238"/>
      <c r="H630" s="252"/>
      <c r="I630" s="253"/>
      <c r="J630" s="254"/>
    </row>
    <row r="631" spans="2:10" ht="15.75" x14ac:dyDescent="0.25">
      <c r="B631" s="264"/>
      <c r="C631" s="264"/>
      <c r="D631" s="238"/>
      <c r="E631" s="265"/>
      <c r="F631" s="238"/>
      <c r="G631" s="238"/>
      <c r="H631" s="252"/>
      <c r="I631" s="253"/>
      <c r="J631" s="254"/>
    </row>
    <row r="632" spans="2:10" ht="15.75" x14ac:dyDescent="0.25">
      <c r="B632" s="264"/>
      <c r="C632" s="264"/>
      <c r="D632" s="238"/>
      <c r="E632" s="1"/>
      <c r="F632" s="238"/>
      <c r="G632" s="238"/>
      <c r="H632" s="252"/>
      <c r="I632" s="253"/>
      <c r="J632" s="254"/>
    </row>
    <row r="633" spans="2:10" ht="15.75" x14ac:dyDescent="0.25">
      <c r="B633" s="264"/>
      <c r="C633" s="264"/>
      <c r="D633" s="238"/>
      <c r="E633" s="265"/>
      <c r="F633" s="238"/>
      <c r="G633" s="238"/>
      <c r="H633" s="252"/>
      <c r="I633" s="253"/>
      <c r="J633" s="254"/>
    </row>
    <row r="634" spans="2:10" ht="15.75" x14ac:dyDescent="0.25">
      <c r="B634" s="264"/>
      <c r="C634" s="264"/>
      <c r="D634" s="238"/>
      <c r="E634" s="265"/>
      <c r="F634" s="238"/>
      <c r="G634" s="238"/>
      <c r="H634" s="252"/>
      <c r="I634" s="253"/>
      <c r="J634" s="254"/>
    </row>
    <row r="635" spans="2:10" ht="15.75" x14ac:dyDescent="0.25">
      <c r="B635" s="264"/>
      <c r="C635" s="264"/>
      <c r="D635" s="238"/>
      <c r="E635" s="265"/>
      <c r="F635" s="238"/>
      <c r="G635" s="238"/>
      <c r="H635" s="252"/>
      <c r="I635" s="253"/>
      <c r="J635" s="254"/>
    </row>
    <row r="636" spans="2:10" ht="15.75" x14ac:dyDescent="0.25">
      <c r="B636" s="264"/>
      <c r="C636" s="264"/>
      <c r="D636" s="238"/>
      <c r="E636" s="265"/>
      <c r="F636" s="238"/>
      <c r="G636" s="238"/>
      <c r="H636" s="252"/>
      <c r="I636" s="253"/>
      <c r="J636" s="254"/>
    </row>
    <row r="637" spans="2:10" ht="15.75" x14ac:dyDescent="0.25">
      <c r="B637" s="264"/>
      <c r="C637" s="264"/>
      <c r="D637" s="238"/>
      <c r="E637" s="265"/>
      <c r="F637" s="238"/>
      <c r="G637" s="238"/>
      <c r="H637" s="252"/>
      <c r="I637" s="253"/>
      <c r="J637" s="254"/>
    </row>
    <row r="638" spans="2:10" ht="15.75" x14ac:dyDescent="0.25">
      <c r="B638" s="264"/>
      <c r="C638" s="264"/>
      <c r="D638" s="238"/>
      <c r="E638" s="265"/>
      <c r="F638" s="238"/>
      <c r="G638" s="238"/>
      <c r="H638" s="252"/>
      <c r="I638" s="253"/>
      <c r="J638" s="254"/>
    </row>
    <row r="639" spans="2:10" ht="15.75" x14ac:dyDescent="0.25">
      <c r="B639" s="264"/>
      <c r="C639" s="264"/>
      <c r="D639" s="238"/>
      <c r="E639" s="265"/>
      <c r="F639" s="238"/>
      <c r="G639" s="238"/>
      <c r="H639" s="252"/>
      <c r="I639" s="253"/>
      <c r="J639" s="254"/>
    </row>
    <row r="640" spans="2:10" ht="15.75" x14ac:dyDescent="0.25">
      <c r="B640" s="264"/>
      <c r="C640" s="264"/>
      <c r="D640" s="238"/>
      <c r="E640" s="265"/>
      <c r="F640" s="238"/>
      <c r="G640" s="238"/>
      <c r="H640" s="252"/>
      <c r="I640" s="253"/>
      <c r="J640" s="254"/>
    </row>
    <row r="641" spans="2:10" ht="15.75" x14ac:dyDescent="0.25">
      <c r="B641" s="264"/>
      <c r="C641" s="264"/>
      <c r="D641" s="238"/>
      <c r="E641" s="265"/>
      <c r="F641" s="238"/>
      <c r="G641" s="238"/>
      <c r="H641" s="252"/>
      <c r="I641" s="253"/>
      <c r="J641" s="254"/>
    </row>
    <row r="642" spans="2:10" ht="15.75" x14ac:dyDescent="0.25">
      <c r="B642" s="264"/>
      <c r="C642" s="264"/>
      <c r="D642" s="238"/>
      <c r="E642" s="265"/>
      <c r="F642" s="238"/>
      <c r="G642" s="238"/>
      <c r="H642" s="252"/>
      <c r="I642" s="253"/>
      <c r="J642" s="254"/>
    </row>
    <row r="643" spans="2:10" ht="15.75" x14ac:dyDescent="0.25">
      <c r="B643" s="264"/>
      <c r="C643" s="264"/>
      <c r="D643" s="238"/>
      <c r="E643" s="265"/>
      <c r="F643" s="238"/>
      <c r="G643" s="238"/>
      <c r="H643" s="252"/>
      <c r="I643" s="253"/>
      <c r="J643" s="254"/>
    </row>
    <row r="644" spans="2:10" ht="15.75" x14ac:dyDescent="0.25">
      <c r="B644" s="264"/>
      <c r="C644" s="264"/>
      <c r="D644" s="238"/>
      <c r="E644" s="265"/>
      <c r="F644" s="238"/>
      <c r="G644" s="238"/>
      <c r="H644" s="252"/>
      <c r="I644" s="253"/>
      <c r="J644" s="254"/>
    </row>
    <row r="645" spans="2:10" ht="15.75" x14ac:dyDescent="0.25">
      <c r="B645" s="264"/>
      <c r="C645" s="264"/>
      <c r="D645" s="238"/>
      <c r="E645" s="265"/>
      <c r="F645" s="238"/>
      <c r="G645" s="238"/>
      <c r="H645" s="252"/>
      <c r="I645" s="253"/>
      <c r="J645" s="254"/>
    </row>
    <row r="646" spans="2:10" ht="15.75" x14ac:dyDescent="0.25">
      <c r="B646" s="264"/>
      <c r="C646" s="264"/>
      <c r="D646" s="238"/>
      <c r="E646" s="265"/>
      <c r="F646" s="238"/>
      <c r="G646" s="238"/>
      <c r="H646" s="252"/>
      <c r="I646" s="253"/>
      <c r="J646" s="254"/>
    </row>
    <row r="647" spans="2:10" ht="15.75" x14ac:dyDescent="0.25">
      <c r="B647" s="264"/>
      <c r="C647" s="264"/>
      <c r="D647" s="238"/>
      <c r="E647" s="265"/>
      <c r="F647" s="238"/>
      <c r="G647" s="238"/>
      <c r="H647" s="252"/>
      <c r="I647" s="253"/>
      <c r="J647" s="254"/>
    </row>
    <row r="648" spans="2:10" ht="15.75" x14ac:dyDescent="0.25">
      <c r="B648" s="264"/>
      <c r="C648" s="264"/>
      <c r="D648" s="238"/>
      <c r="E648" s="265"/>
      <c r="F648" s="238"/>
      <c r="G648" s="238"/>
      <c r="H648" s="252"/>
      <c r="I648" s="253"/>
      <c r="J648" s="254"/>
    </row>
    <row r="649" spans="2:10" ht="15.75" x14ac:dyDescent="0.25">
      <c r="B649" s="264"/>
      <c r="C649" s="264"/>
      <c r="D649" s="238"/>
      <c r="E649" s="265"/>
      <c r="F649" s="238"/>
      <c r="G649" s="238"/>
      <c r="H649" s="252"/>
      <c r="I649" s="253"/>
      <c r="J649" s="254"/>
    </row>
    <row r="650" spans="2:10" ht="15.75" x14ac:dyDescent="0.25">
      <c r="B650" s="264"/>
      <c r="C650" s="264"/>
      <c r="D650" s="238"/>
      <c r="E650" s="265"/>
      <c r="F650" s="238"/>
      <c r="G650" s="238"/>
      <c r="H650" s="252"/>
      <c r="I650" s="253"/>
      <c r="J650" s="254"/>
    </row>
    <row r="651" spans="2:10" ht="15.75" x14ac:dyDescent="0.25">
      <c r="B651" s="264"/>
      <c r="C651" s="264"/>
      <c r="D651" s="238"/>
      <c r="E651" s="265"/>
      <c r="F651" s="238"/>
      <c r="G651" s="238"/>
      <c r="H651" s="252"/>
      <c r="I651" s="253"/>
      <c r="J651" s="254"/>
    </row>
    <row r="652" spans="2:10" ht="15.75" x14ac:dyDescent="0.25">
      <c r="B652" s="264"/>
      <c r="C652" s="264"/>
      <c r="D652" s="238"/>
      <c r="E652" s="1"/>
      <c r="F652" s="238"/>
      <c r="G652" s="238"/>
      <c r="H652" s="252"/>
      <c r="I652" s="253"/>
      <c r="J652" s="254"/>
    </row>
    <row r="653" spans="2:10" ht="15.75" x14ac:dyDescent="0.25">
      <c r="B653" s="264"/>
      <c r="C653" s="264"/>
      <c r="D653" s="238"/>
      <c r="E653" s="1"/>
      <c r="F653" s="238"/>
      <c r="G653" s="238"/>
      <c r="H653" s="252"/>
      <c r="I653" s="253"/>
      <c r="J653" s="254"/>
    </row>
    <row r="654" spans="2:10" ht="15.75" x14ac:dyDescent="0.25">
      <c r="B654" s="264"/>
      <c r="C654" s="264"/>
      <c r="D654" s="238"/>
      <c r="E654" s="1"/>
      <c r="F654" s="238"/>
      <c r="G654" s="238"/>
      <c r="H654" s="252"/>
      <c r="I654" s="253"/>
      <c r="J654" s="254"/>
    </row>
    <row r="655" spans="2:10" ht="15.75" x14ac:dyDescent="0.25">
      <c r="B655" s="264"/>
      <c r="C655" s="264"/>
      <c r="D655" s="238"/>
      <c r="E655" s="1"/>
      <c r="F655" s="238"/>
      <c r="G655" s="238"/>
      <c r="H655" s="252"/>
      <c r="I655" s="253"/>
      <c r="J655" s="254"/>
    </row>
    <row r="656" spans="2:10" ht="15.75" x14ac:dyDescent="0.25">
      <c r="B656" s="264"/>
      <c r="C656" s="264"/>
      <c r="D656" s="238"/>
      <c r="E656" s="265"/>
      <c r="F656" s="238"/>
      <c r="G656" s="238"/>
      <c r="H656" s="252"/>
      <c r="I656" s="253"/>
      <c r="J656" s="254"/>
    </row>
    <row r="657" spans="2:10" ht="15.75" x14ac:dyDescent="0.25">
      <c r="B657" s="264"/>
      <c r="C657" s="264"/>
      <c r="D657" s="238"/>
      <c r="E657" s="265"/>
      <c r="F657" s="238"/>
      <c r="G657" s="238"/>
      <c r="H657" s="252"/>
      <c r="I657" s="253"/>
      <c r="J657" s="254"/>
    </row>
    <row r="658" spans="2:10" ht="15.75" x14ac:dyDescent="0.25">
      <c r="B658" s="264"/>
      <c r="C658" s="264"/>
      <c r="D658" s="238"/>
      <c r="E658" s="1"/>
      <c r="F658" s="238"/>
      <c r="G658" s="238"/>
      <c r="H658" s="252"/>
      <c r="I658" s="253"/>
      <c r="J658" s="254"/>
    </row>
    <row r="659" spans="2:10" ht="15.75" x14ac:dyDescent="0.25">
      <c r="B659" s="264"/>
      <c r="C659" s="264"/>
      <c r="D659" s="238"/>
      <c r="E659" s="1"/>
      <c r="F659" s="238"/>
      <c r="G659" s="238"/>
      <c r="H659" s="252"/>
      <c r="I659" s="253"/>
      <c r="J659" s="254"/>
    </row>
    <row r="660" spans="2:10" ht="15.75" x14ac:dyDescent="0.25">
      <c r="B660" s="264"/>
      <c r="C660" s="264"/>
      <c r="D660" s="238"/>
      <c r="E660" s="1"/>
      <c r="F660" s="238"/>
      <c r="G660" s="238"/>
      <c r="H660" s="252"/>
      <c r="I660" s="253"/>
      <c r="J660" s="254"/>
    </row>
    <row r="661" spans="2:10" ht="15.75" x14ac:dyDescent="0.25">
      <c r="B661" s="264"/>
      <c r="C661" s="264"/>
      <c r="D661" s="238"/>
      <c r="E661" s="1"/>
      <c r="F661" s="238"/>
      <c r="G661" s="238"/>
      <c r="H661" s="252"/>
      <c r="I661" s="253"/>
      <c r="J661" s="254"/>
    </row>
    <row r="662" spans="2:10" ht="15.75" x14ac:dyDescent="0.25">
      <c r="B662" s="264"/>
      <c r="C662" s="264"/>
      <c r="D662" s="238"/>
      <c r="E662" s="1"/>
      <c r="F662" s="238"/>
      <c r="G662" s="238"/>
      <c r="H662" s="252"/>
      <c r="I662" s="253"/>
      <c r="J662" s="254"/>
    </row>
    <row r="663" spans="2:10" ht="15.75" x14ac:dyDescent="0.25">
      <c r="B663" s="264"/>
      <c r="C663" s="264"/>
      <c r="D663" s="238"/>
      <c r="E663" s="1"/>
      <c r="F663" s="238"/>
      <c r="G663" s="238"/>
      <c r="H663" s="252"/>
      <c r="I663" s="253"/>
      <c r="J663" s="254"/>
    </row>
    <row r="664" spans="2:10" ht="15.75" x14ac:dyDescent="0.25">
      <c r="B664" s="264"/>
      <c r="C664" s="264"/>
      <c r="D664" s="238"/>
      <c r="E664" s="1"/>
      <c r="F664" s="238"/>
      <c r="G664" s="238"/>
      <c r="H664" s="252"/>
      <c r="I664" s="253"/>
      <c r="J664" s="254"/>
    </row>
    <row r="665" spans="2:10" ht="15.75" x14ac:dyDescent="0.25">
      <c r="B665" s="264"/>
      <c r="C665" s="264"/>
      <c r="D665" s="238"/>
      <c r="E665" s="1"/>
      <c r="F665" s="238"/>
      <c r="G665" s="238"/>
      <c r="H665" s="252"/>
      <c r="I665" s="253"/>
      <c r="J665" s="254"/>
    </row>
    <row r="666" spans="2:10" ht="15.75" x14ac:dyDescent="0.25">
      <c r="B666" s="264"/>
      <c r="C666" s="264"/>
      <c r="D666" s="238"/>
      <c r="E666" s="1"/>
      <c r="F666" s="238"/>
      <c r="G666" s="238"/>
      <c r="H666" s="252"/>
      <c r="I666" s="253"/>
      <c r="J666" s="254"/>
    </row>
    <row r="667" spans="2:10" ht="15.75" x14ac:dyDescent="0.25">
      <c r="B667" s="264"/>
      <c r="C667" s="264"/>
      <c r="D667" s="238"/>
      <c r="E667" s="1"/>
      <c r="F667" s="238"/>
      <c r="G667" s="238"/>
      <c r="H667" s="252"/>
      <c r="I667" s="253"/>
      <c r="J667" s="254"/>
    </row>
    <row r="668" spans="2:10" ht="15.75" x14ac:dyDescent="0.25">
      <c r="B668" s="264"/>
      <c r="C668" s="264"/>
      <c r="D668" s="238"/>
      <c r="E668" s="1"/>
      <c r="F668" s="238"/>
      <c r="G668" s="238"/>
      <c r="H668" s="252"/>
      <c r="I668" s="253"/>
      <c r="J668" s="254"/>
    </row>
    <row r="669" spans="2:10" ht="15.75" x14ac:dyDescent="0.25">
      <c r="B669" s="264"/>
      <c r="C669" s="264"/>
      <c r="D669" s="238"/>
      <c r="E669" s="265"/>
      <c r="F669" s="238"/>
      <c r="G669" s="238"/>
      <c r="H669" s="252"/>
      <c r="I669" s="253"/>
      <c r="J669" s="254"/>
    </row>
    <row r="670" spans="2:10" ht="15.75" x14ac:dyDescent="0.25">
      <c r="B670" s="264"/>
      <c r="C670" s="264"/>
      <c r="D670" s="238"/>
      <c r="E670" s="265"/>
      <c r="F670" s="238"/>
      <c r="G670" s="238"/>
      <c r="H670" s="252"/>
      <c r="I670" s="253"/>
      <c r="J670" s="254"/>
    </row>
    <row r="671" spans="2:10" ht="15.75" x14ac:dyDescent="0.25">
      <c r="B671" s="246"/>
      <c r="C671" s="246"/>
      <c r="D671" s="34"/>
      <c r="E671" s="1"/>
      <c r="F671" s="238"/>
      <c r="G671" s="34"/>
      <c r="H671" s="243"/>
      <c r="I671" s="128"/>
      <c r="J671" s="244"/>
    </row>
    <row r="672" spans="2:10" ht="21" x14ac:dyDescent="0.25">
      <c r="B672" s="1"/>
      <c r="C672" s="1"/>
      <c r="D672" s="1"/>
      <c r="E672" s="266"/>
      <c r="F672" s="238"/>
      <c r="G672" s="1"/>
      <c r="H672" s="267"/>
      <c r="I672" s="267"/>
      <c r="J672" s="267"/>
    </row>
    <row r="673" spans="2:10" ht="15.75" x14ac:dyDescent="0.25">
      <c r="B673" s="1"/>
      <c r="C673" s="1"/>
      <c r="D673" s="1"/>
      <c r="E673" s="1"/>
      <c r="F673" s="238"/>
      <c r="G673" s="1"/>
      <c r="H673" s="1"/>
      <c r="I673" s="1"/>
      <c r="J673" s="268"/>
    </row>
    <row r="674" spans="2:10" ht="15.75" x14ac:dyDescent="0.25">
      <c r="B674" s="1"/>
      <c r="C674" s="1"/>
      <c r="D674" s="1"/>
      <c r="E674" s="1"/>
      <c r="F674" s="238"/>
      <c r="G674" s="1"/>
      <c r="H674" s="1"/>
      <c r="I674" s="1"/>
      <c r="J674" s="244"/>
    </row>
    <row r="675" spans="2:10" ht="15.75" x14ac:dyDescent="0.25">
      <c r="B675" s="1"/>
      <c r="C675" s="1"/>
      <c r="D675" s="1"/>
      <c r="E675" s="1"/>
      <c r="F675" s="238"/>
      <c r="G675" s="1"/>
      <c r="H675" s="1"/>
      <c r="I675" s="1"/>
      <c r="J675" s="239"/>
    </row>
    <row r="676" spans="2:10" ht="15.75" x14ac:dyDescent="0.25">
      <c r="B676" s="1"/>
      <c r="C676" s="1"/>
      <c r="D676" s="1"/>
      <c r="E676" s="1"/>
      <c r="F676" s="238"/>
      <c r="G676" s="1"/>
      <c r="H676" s="1"/>
      <c r="I676" s="1"/>
      <c r="J676" s="239"/>
    </row>
    <row r="677" spans="2:10" ht="15.75" x14ac:dyDescent="0.25">
      <c r="B677" s="1"/>
      <c r="C677" s="1"/>
      <c r="D677" s="1"/>
      <c r="E677" s="1"/>
      <c r="F677" s="238"/>
      <c r="G677" s="1"/>
      <c r="H677" s="1"/>
      <c r="I677" s="1"/>
      <c r="J677" s="239"/>
    </row>
    <row r="678" spans="2:10" ht="15.75" x14ac:dyDescent="0.25">
      <c r="B678" s="1"/>
      <c r="C678" s="1"/>
      <c r="D678" s="1"/>
      <c r="E678" s="1"/>
      <c r="F678" s="238"/>
      <c r="G678" s="1"/>
      <c r="H678" s="1"/>
      <c r="I678" s="1"/>
      <c r="J678" s="239"/>
    </row>
    <row r="679" spans="2:10" ht="15.75" x14ac:dyDescent="0.25">
      <c r="B679" s="1"/>
      <c r="C679" s="1"/>
      <c r="D679" s="1"/>
      <c r="E679" s="1"/>
      <c r="F679" s="238"/>
      <c r="G679" s="1"/>
      <c r="H679" s="1"/>
      <c r="I679" s="1"/>
      <c r="J679" s="239"/>
    </row>
    <row r="680" spans="2:10" ht="15.75" x14ac:dyDescent="0.25">
      <c r="B680" s="1"/>
      <c r="C680" s="1"/>
      <c r="D680" s="1"/>
      <c r="E680" s="1"/>
      <c r="F680" s="238"/>
      <c r="G680" s="1"/>
      <c r="H680" s="1"/>
      <c r="I680" s="1"/>
      <c r="J680" s="239"/>
    </row>
    <row r="681" spans="2:10" ht="15.75" x14ac:dyDescent="0.25">
      <c r="B681" s="1"/>
      <c r="C681" s="1"/>
      <c r="D681" s="1"/>
      <c r="E681" s="1"/>
      <c r="F681" s="238"/>
      <c r="G681" s="1"/>
      <c r="H681" s="1"/>
      <c r="I681" s="1"/>
      <c r="J681" s="239"/>
    </row>
    <row r="682" spans="2:10" ht="15.75" x14ac:dyDescent="0.25">
      <c r="B682" s="1"/>
      <c r="C682" s="1"/>
      <c r="D682" s="1"/>
      <c r="E682" s="1"/>
      <c r="F682" s="238"/>
      <c r="G682" s="1"/>
      <c r="H682" s="1"/>
      <c r="I682" s="1"/>
      <c r="J682" s="239"/>
    </row>
    <row r="683" spans="2:10" x14ac:dyDescent="0.25">
      <c r="B683" s="438"/>
      <c r="C683" s="438"/>
      <c r="D683" s="438"/>
      <c r="E683" s="438"/>
      <c r="F683" s="438"/>
      <c r="G683" s="438"/>
      <c r="H683" s="438"/>
      <c r="I683" s="438"/>
      <c r="J683" s="438"/>
    </row>
    <row r="684" spans="2:10" x14ac:dyDescent="0.25">
      <c r="B684" s="439"/>
      <c r="C684" s="439"/>
      <c r="D684" s="439"/>
      <c r="E684" s="439"/>
      <c r="F684" s="439"/>
      <c r="G684" s="439"/>
      <c r="H684" s="439"/>
      <c r="I684" s="439"/>
      <c r="J684" s="439"/>
    </row>
    <row r="685" spans="2:10" ht="15.75" x14ac:dyDescent="0.25">
      <c r="B685" s="1"/>
      <c r="C685" s="1"/>
      <c r="D685" s="1"/>
      <c r="E685" s="441"/>
      <c r="F685" s="441"/>
      <c r="G685" s="1"/>
      <c r="H685" s="1"/>
      <c r="I685" s="1"/>
      <c r="J685" s="239"/>
    </row>
    <row r="686" spans="2:10" ht="15.75" x14ac:dyDescent="0.25">
      <c r="B686" s="1"/>
      <c r="C686" s="1"/>
      <c r="D686" s="1"/>
      <c r="E686" s="1"/>
      <c r="F686" s="238"/>
      <c r="G686" s="1"/>
      <c r="H686" s="1"/>
      <c r="I686" s="1"/>
      <c r="J686" s="239"/>
    </row>
    <row r="687" spans="2:10" ht="15.75" x14ac:dyDescent="0.25">
      <c r="B687" s="1"/>
      <c r="C687" s="1"/>
      <c r="D687" s="1"/>
      <c r="E687" s="1"/>
      <c r="F687" s="238"/>
      <c r="G687" s="1"/>
      <c r="H687" s="1"/>
      <c r="I687" s="1"/>
      <c r="J687" s="239"/>
    </row>
    <row r="688" spans="2:10" ht="15.75" x14ac:dyDescent="0.25">
      <c r="B688" s="1"/>
      <c r="C688" s="1"/>
      <c r="D688" s="1"/>
      <c r="E688" s="1"/>
      <c r="F688" s="238"/>
      <c r="G688" s="1"/>
      <c r="H688" s="1"/>
      <c r="I688" s="1"/>
      <c r="J688" s="239"/>
    </row>
    <row r="689" spans="2:10" ht="15.75" x14ac:dyDescent="0.25">
      <c r="B689" s="1"/>
      <c r="C689" s="1"/>
      <c r="D689" s="1"/>
      <c r="E689" s="1"/>
      <c r="F689" s="238"/>
      <c r="G689" s="1"/>
      <c r="H689" s="1"/>
      <c r="I689" s="1"/>
      <c r="J689" s="239"/>
    </row>
    <row r="690" spans="2:10" ht="15.75" x14ac:dyDescent="0.25">
      <c r="B690" s="1"/>
      <c r="C690" s="1"/>
      <c r="D690" s="1"/>
      <c r="E690" s="1"/>
      <c r="F690" s="238"/>
      <c r="G690" s="1"/>
      <c r="H690" s="1"/>
      <c r="I690" s="1"/>
      <c r="J690" s="239"/>
    </row>
    <row r="691" spans="2:10" ht="15.75" x14ac:dyDescent="0.25">
      <c r="B691" s="1"/>
      <c r="C691" s="1"/>
      <c r="D691" s="1"/>
      <c r="E691" s="1"/>
      <c r="F691" s="238"/>
      <c r="G691" s="1"/>
      <c r="H691" s="1"/>
      <c r="I691" s="1"/>
      <c r="J691" s="239"/>
    </row>
    <row r="692" spans="2:10" ht="15.75" x14ac:dyDescent="0.25">
      <c r="B692" s="1"/>
      <c r="C692" s="1"/>
      <c r="D692" s="1"/>
      <c r="E692" s="1"/>
      <c r="F692" s="238"/>
      <c r="G692" s="1"/>
      <c r="H692" s="1"/>
      <c r="I692" s="1"/>
      <c r="J692" s="239"/>
    </row>
    <row r="693" spans="2:10" ht="15.75" x14ac:dyDescent="0.25">
      <c r="B693" s="1"/>
      <c r="C693" s="1"/>
      <c r="D693" s="1"/>
      <c r="E693" s="1"/>
      <c r="F693" s="238"/>
      <c r="G693" s="1"/>
      <c r="H693" s="1"/>
      <c r="I693" s="1"/>
      <c r="J693" s="239"/>
    </row>
    <row r="694" spans="2:10" ht="15.75" x14ac:dyDescent="0.25">
      <c r="B694" s="1"/>
      <c r="C694" s="1"/>
      <c r="D694" s="1"/>
      <c r="E694" s="1"/>
      <c r="F694" s="238"/>
      <c r="G694" s="1"/>
      <c r="H694" s="1"/>
      <c r="I694" s="1"/>
      <c r="J694" s="239"/>
    </row>
  </sheetData>
  <mergeCells count="17">
    <mergeCell ref="F4:J5"/>
    <mergeCell ref="E685:F685"/>
    <mergeCell ref="F8:L9"/>
    <mergeCell ref="F10:L10"/>
    <mergeCell ref="F605:H609"/>
    <mergeCell ref="B683:D683"/>
    <mergeCell ref="E683:G683"/>
    <mergeCell ref="H683:J683"/>
    <mergeCell ref="B684:D684"/>
    <mergeCell ref="E684:G684"/>
    <mergeCell ref="H684:J684"/>
    <mergeCell ref="B611:D611"/>
    <mergeCell ref="B612:D612"/>
    <mergeCell ref="E612:G612"/>
    <mergeCell ref="E610:G611"/>
    <mergeCell ref="J611:L611"/>
    <mergeCell ref="J612:L612"/>
  </mergeCells>
  <conditionalFormatting sqref="D55:D76">
    <cfRule type="duplicateValues" dxfId="6" priority="1"/>
  </conditionalFormatting>
  <conditionalFormatting sqref="D135:D142">
    <cfRule type="duplicateValues" dxfId="5" priority="2"/>
  </conditionalFormatting>
  <conditionalFormatting sqref="D143:D598">
    <cfRule type="duplicateValues" dxfId="4" priority="3"/>
  </conditionalFormatting>
  <pageMargins left="0" right="0" top="0" bottom="0" header="0.3" footer="0.3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L291"/>
  <sheetViews>
    <sheetView workbookViewId="0">
      <selection activeCell="G3" sqref="G3"/>
    </sheetView>
  </sheetViews>
  <sheetFormatPr baseColWidth="10" defaultColWidth="11.42578125" defaultRowHeight="15" x14ac:dyDescent="0.25"/>
  <cols>
    <col min="1" max="1" width="7.42578125" customWidth="1"/>
    <col min="2" max="2" width="13.7109375" customWidth="1"/>
    <col min="3" max="3" width="12.28515625" customWidth="1"/>
    <col min="4" max="4" width="16.28515625" customWidth="1"/>
    <col min="5" max="5" width="45.28515625" customWidth="1"/>
    <col min="6" max="6" width="13.7109375" customWidth="1"/>
    <col min="9" max="9" width="16.85546875" customWidth="1"/>
    <col min="10" max="10" width="24.42578125" customWidth="1"/>
    <col min="12" max="12" width="16.5703125" customWidth="1"/>
  </cols>
  <sheetData>
    <row r="4" spans="1:12" ht="15.75" x14ac:dyDescent="0.25">
      <c r="A4" s="7"/>
      <c r="B4" s="7"/>
      <c r="C4" s="7"/>
      <c r="D4" s="7"/>
      <c r="E4" s="7"/>
      <c r="F4" s="238"/>
      <c r="G4" s="7"/>
      <c r="H4" s="7"/>
      <c r="I4" s="7"/>
      <c r="J4" s="7"/>
      <c r="K4" s="7"/>
      <c r="L4" s="247"/>
    </row>
    <row r="5" spans="1:12" ht="15.75" x14ac:dyDescent="0.25">
      <c r="A5" s="7"/>
      <c r="B5" s="7"/>
      <c r="C5" s="7"/>
      <c r="D5" s="7"/>
      <c r="E5" s="7"/>
      <c r="F5" s="238"/>
      <c r="G5" s="7"/>
      <c r="H5" s="7"/>
      <c r="I5" s="7"/>
      <c r="J5" s="7"/>
      <c r="K5" s="7"/>
      <c r="L5" s="247"/>
    </row>
    <row r="6" spans="1:12" ht="15" customHeight="1" x14ac:dyDescent="0.25">
      <c r="A6" s="7"/>
      <c r="B6" s="7"/>
      <c r="C6" s="7"/>
      <c r="D6" s="7"/>
      <c r="E6" s="7"/>
      <c r="F6" s="440" t="s">
        <v>983</v>
      </c>
      <c r="G6" s="440"/>
      <c r="H6" s="440"/>
      <c r="I6" s="440"/>
      <c r="J6" s="440"/>
      <c r="K6" s="440"/>
      <c r="L6" s="440"/>
    </row>
    <row r="7" spans="1:12" ht="15" customHeight="1" x14ac:dyDescent="0.25">
      <c r="A7" s="7"/>
      <c r="B7" s="7"/>
      <c r="C7" s="7"/>
      <c r="D7" s="7"/>
      <c r="E7" s="7"/>
      <c r="F7" s="440"/>
      <c r="G7" s="440"/>
      <c r="H7" s="440"/>
      <c r="I7" s="440"/>
      <c r="J7" s="440"/>
      <c r="K7" s="440"/>
      <c r="L7" s="440"/>
    </row>
    <row r="8" spans="1:12" ht="18.75" customHeight="1" x14ac:dyDescent="0.25">
      <c r="A8" s="7"/>
      <c r="B8" s="7"/>
      <c r="C8" s="7"/>
      <c r="D8" s="7"/>
      <c r="E8" s="7"/>
      <c r="F8" s="442" t="s">
        <v>2514</v>
      </c>
      <c r="G8" s="442"/>
      <c r="H8" s="442"/>
      <c r="I8" s="442"/>
      <c r="J8" s="442"/>
      <c r="K8" s="442"/>
      <c r="L8" s="442"/>
    </row>
    <row r="9" spans="1:12" ht="15.75" x14ac:dyDescent="0.25">
      <c r="A9" s="7"/>
      <c r="B9" s="7"/>
      <c r="C9" s="7"/>
      <c r="D9" s="7"/>
      <c r="E9" s="7"/>
      <c r="F9" s="240"/>
      <c r="G9" s="248"/>
      <c r="H9" s="248"/>
      <c r="I9" s="248"/>
      <c r="J9" s="248"/>
      <c r="K9" s="248"/>
      <c r="L9" s="249"/>
    </row>
    <row r="10" spans="1:12" ht="30" x14ac:dyDescent="0.25">
      <c r="A10" s="7"/>
      <c r="B10" s="241" t="s">
        <v>457</v>
      </c>
      <c r="C10" s="241" t="s">
        <v>458</v>
      </c>
      <c r="D10" s="241" t="s">
        <v>459</v>
      </c>
      <c r="E10" s="241" t="s">
        <v>460</v>
      </c>
      <c r="F10" s="241" t="s">
        <v>461</v>
      </c>
      <c r="G10" s="241" t="s">
        <v>462</v>
      </c>
      <c r="H10" s="241" t="s">
        <v>2407</v>
      </c>
      <c r="I10" s="241" t="s">
        <v>2372</v>
      </c>
      <c r="J10" s="241" t="s">
        <v>463</v>
      </c>
      <c r="K10" s="241" t="s">
        <v>464</v>
      </c>
      <c r="L10" s="241" t="s">
        <v>465</v>
      </c>
    </row>
    <row r="11" spans="1:12" ht="15.75" x14ac:dyDescent="0.25">
      <c r="A11" s="7"/>
      <c r="B11" s="320" t="s">
        <v>2008</v>
      </c>
      <c r="C11" s="320" t="s">
        <v>2008</v>
      </c>
      <c r="D11" s="269">
        <v>3314</v>
      </c>
      <c r="E11" s="338" t="s">
        <v>984</v>
      </c>
      <c r="F11" s="321" t="s">
        <v>985</v>
      </c>
      <c r="G11" s="321" t="s">
        <v>986</v>
      </c>
      <c r="H11" s="321"/>
      <c r="I11" s="321">
        <v>512</v>
      </c>
      <c r="J11" s="270">
        <v>166</v>
      </c>
      <c r="K11" s="271">
        <v>49.914000000000001</v>
      </c>
      <c r="L11" s="263">
        <f>+J11*K11</f>
        <v>8285.7240000000002</v>
      </c>
    </row>
    <row r="12" spans="1:12" ht="15.75" x14ac:dyDescent="0.25">
      <c r="A12" s="7"/>
      <c r="B12" s="320" t="s">
        <v>2008</v>
      </c>
      <c r="C12" s="320" t="s">
        <v>2008</v>
      </c>
      <c r="D12" s="269">
        <v>10971</v>
      </c>
      <c r="E12" s="338" t="s">
        <v>987</v>
      </c>
      <c r="F12" s="321" t="s">
        <v>985</v>
      </c>
      <c r="G12" s="321" t="s">
        <v>986</v>
      </c>
      <c r="H12" s="321"/>
      <c r="I12" s="321">
        <v>112</v>
      </c>
      <c r="J12" s="270">
        <v>8</v>
      </c>
      <c r="K12" s="271">
        <v>129.80000000000001</v>
      </c>
      <c r="L12" s="263">
        <f t="shared" ref="L12:L75" si="0">+J12*K12</f>
        <v>1038.4000000000001</v>
      </c>
    </row>
    <row r="13" spans="1:12" ht="15.75" x14ac:dyDescent="0.25">
      <c r="A13" s="7"/>
      <c r="B13" s="320" t="s">
        <v>2009</v>
      </c>
      <c r="C13" s="320" t="s">
        <v>2009</v>
      </c>
      <c r="D13" s="269">
        <v>3323</v>
      </c>
      <c r="E13" s="338" t="s">
        <v>988</v>
      </c>
      <c r="F13" s="321" t="s">
        <v>985</v>
      </c>
      <c r="G13" s="321" t="s">
        <v>986</v>
      </c>
      <c r="H13" s="321"/>
      <c r="I13" s="321">
        <v>82</v>
      </c>
      <c r="J13" s="270">
        <v>48</v>
      </c>
      <c r="K13" s="272">
        <f>217+39.06</f>
        <v>256.06</v>
      </c>
      <c r="L13" s="263">
        <f t="shared" si="0"/>
        <v>12290.880000000001</v>
      </c>
    </row>
    <row r="14" spans="1:12" ht="15.75" x14ac:dyDescent="0.25">
      <c r="A14" s="7"/>
      <c r="B14" s="320" t="s">
        <v>2008</v>
      </c>
      <c r="C14" s="320" t="s">
        <v>2008</v>
      </c>
      <c r="D14" s="269">
        <v>3326</v>
      </c>
      <c r="E14" s="338" t="s">
        <v>989</v>
      </c>
      <c r="F14" s="321" t="s">
        <v>985</v>
      </c>
      <c r="G14" s="321" t="s">
        <v>986</v>
      </c>
      <c r="H14" s="321"/>
      <c r="I14" s="321">
        <v>357</v>
      </c>
      <c r="J14" s="270">
        <v>377</v>
      </c>
      <c r="K14" s="271">
        <v>49.914000000000001</v>
      </c>
      <c r="L14" s="263">
        <f t="shared" si="0"/>
        <v>18817.578000000001</v>
      </c>
    </row>
    <row r="15" spans="1:12" ht="15.75" x14ac:dyDescent="0.25">
      <c r="A15" s="7"/>
      <c r="B15" s="320">
        <v>45231</v>
      </c>
      <c r="C15" s="320">
        <v>45231</v>
      </c>
      <c r="D15" s="269">
        <v>3329</v>
      </c>
      <c r="E15" s="338" t="s">
        <v>990</v>
      </c>
      <c r="F15" s="321" t="s">
        <v>985</v>
      </c>
      <c r="G15" s="321" t="s">
        <v>986</v>
      </c>
      <c r="H15" s="321"/>
      <c r="I15" s="321">
        <v>16</v>
      </c>
      <c r="J15" s="270">
        <v>30</v>
      </c>
      <c r="K15" s="271">
        <v>66.08</v>
      </c>
      <c r="L15" s="263">
        <f t="shared" si="0"/>
        <v>1982.3999999999999</v>
      </c>
    </row>
    <row r="16" spans="1:12" ht="15.75" x14ac:dyDescent="0.25">
      <c r="A16" s="7"/>
      <c r="B16" s="320">
        <v>45231</v>
      </c>
      <c r="C16" s="320">
        <v>45231</v>
      </c>
      <c r="D16" s="269">
        <v>3332</v>
      </c>
      <c r="E16" s="338" t="s">
        <v>991</v>
      </c>
      <c r="F16" s="321" t="s">
        <v>985</v>
      </c>
      <c r="G16" s="321" t="s">
        <v>986</v>
      </c>
      <c r="H16" s="321"/>
      <c r="I16" s="321">
        <v>46</v>
      </c>
      <c r="J16" s="270">
        <v>154</v>
      </c>
      <c r="K16" s="272">
        <v>102.66</v>
      </c>
      <c r="L16" s="263">
        <f t="shared" si="0"/>
        <v>15809.64</v>
      </c>
    </row>
    <row r="17" spans="1:12" ht="15.75" x14ac:dyDescent="0.25">
      <c r="A17" s="7"/>
      <c r="B17" s="320">
        <v>45231</v>
      </c>
      <c r="C17" s="320">
        <v>45231</v>
      </c>
      <c r="D17" s="269">
        <v>6107</v>
      </c>
      <c r="E17" s="338" t="s">
        <v>992</v>
      </c>
      <c r="F17" s="321" t="s">
        <v>985</v>
      </c>
      <c r="G17" s="321" t="s">
        <v>986</v>
      </c>
      <c r="H17" s="321"/>
      <c r="I17" s="321">
        <v>80</v>
      </c>
      <c r="J17" s="270">
        <v>57</v>
      </c>
      <c r="K17" s="271">
        <v>283.2</v>
      </c>
      <c r="L17" s="263">
        <f t="shared" si="0"/>
        <v>16142.4</v>
      </c>
    </row>
    <row r="18" spans="1:12" ht="15.75" x14ac:dyDescent="0.25">
      <c r="A18" s="7"/>
      <c r="B18" s="320">
        <v>45272</v>
      </c>
      <c r="C18" s="320">
        <v>45272</v>
      </c>
      <c r="D18" s="269">
        <v>5551</v>
      </c>
      <c r="E18" s="338" t="s">
        <v>993</v>
      </c>
      <c r="F18" s="321" t="s">
        <v>985</v>
      </c>
      <c r="G18" s="321" t="s">
        <v>994</v>
      </c>
      <c r="H18" s="321"/>
      <c r="I18" s="321">
        <v>44</v>
      </c>
      <c r="J18" s="270">
        <v>19</v>
      </c>
      <c r="K18" s="271">
        <f>1850+333</f>
        <v>2183</v>
      </c>
      <c r="L18" s="263">
        <f t="shared" si="0"/>
        <v>41477</v>
      </c>
    </row>
    <row r="19" spans="1:12" ht="15.75" x14ac:dyDescent="0.25">
      <c r="A19" s="7"/>
      <c r="B19" s="320" t="s">
        <v>2009</v>
      </c>
      <c r="C19" s="320" t="s">
        <v>2009</v>
      </c>
      <c r="D19" s="269">
        <v>3328</v>
      </c>
      <c r="E19" s="338" t="s">
        <v>995</v>
      </c>
      <c r="F19" s="321" t="s">
        <v>985</v>
      </c>
      <c r="G19" s="321" t="s">
        <v>986</v>
      </c>
      <c r="H19" s="321"/>
      <c r="I19" s="321">
        <v>327</v>
      </c>
      <c r="J19" s="270">
        <v>176</v>
      </c>
      <c r="K19" s="271">
        <v>92.04</v>
      </c>
      <c r="L19" s="263">
        <f t="shared" si="0"/>
        <v>16199.04</v>
      </c>
    </row>
    <row r="20" spans="1:12" ht="15.75" x14ac:dyDescent="0.25">
      <c r="A20" s="7"/>
      <c r="B20" s="320">
        <v>45231</v>
      </c>
      <c r="C20" s="320">
        <v>45231</v>
      </c>
      <c r="D20" s="269">
        <v>17006</v>
      </c>
      <c r="E20" s="338" t="s">
        <v>997</v>
      </c>
      <c r="F20" s="321" t="s">
        <v>996</v>
      </c>
      <c r="G20" s="321" t="s">
        <v>998</v>
      </c>
      <c r="H20" s="321"/>
      <c r="I20" s="321">
        <v>20</v>
      </c>
      <c r="J20" s="270">
        <v>38</v>
      </c>
      <c r="K20" s="271">
        <v>35.4</v>
      </c>
      <c r="L20" s="263">
        <f t="shared" si="0"/>
        <v>1345.2</v>
      </c>
    </row>
    <row r="21" spans="1:12" ht="15.75" x14ac:dyDescent="0.25">
      <c r="A21" s="7"/>
      <c r="B21" s="320">
        <v>45231</v>
      </c>
      <c r="C21" s="320">
        <v>45231</v>
      </c>
      <c r="D21" s="269">
        <v>4219</v>
      </c>
      <c r="E21" s="338" t="s">
        <v>999</v>
      </c>
      <c r="F21" s="321" t="s">
        <v>996</v>
      </c>
      <c r="G21" s="321" t="s">
        <v>998</v>
      </c>
      <c r="H21" s="321"/>
      <c r="I21" s="321">
        <v>0</v>
      </c>
      <c r="J21" s="270">
        <v>31</v>
      </c>
      <c r="K21" s="272">
        <v>66.08</v>
      </c>
      <c r="L21" s="263">
        <f t="shared" si="0"/>
        <v>2048.48</v>
      </c>
    </row>
    <row r="22" spans="1:12" ht="15.75" x14ac:dyDescent="0.25">
      <c r="A22" s="7"/>
      <c r="B22" s="320">
        <v>45231</v>
      </c>
      <c r="C22" s="320">
        <v>45231</v>
      </c>
      <c r="D22" s="269">
        <v>15854</v>
      </c>
      <c r="E22" s="338" t="s">
        <v>1000</v>
      </c>
      <c r="F22" s="321" t="s">
        <v>996</v>
      </c>
      <c r="G22" s="321" t="s">
        <v>468</v>
      </c>
      <c r="H22" s="321"/>
      <c r="I22" s="321">
        <v>0</v>
      </c>
      <c r="J22" s="270">
        <v>6</v>
      </c>
      <c r="K22" s="272">
        <v>56.64</v>
      </c>
      <c r="L22" s="263">
        <f t="shared" si="0"/>
        <v>339.84000000000003</v>
      </c>
    </row>
    <row r="23" spans="1:12" ht="15.75" x14ac:dyDescent="0.25">
      <c r="A23" s="7"/>
      <c r="B23" s="320">
        <v>45231</v>
      </c>
      <c r="C23" s="320">
        <v>45231</v>
      </c>
      <c r="D23" s="269">
        <v>4218</v>
      </c>
      <c r="E23" s="338" t="s">
        <v>1001</v>
      </c>
      <c r="F23" s="321" t="s">
        <v>996</v>
      </c>
      <c r="G23" s="321" t="s">
        <v>468</v>
      </c>
      <c r="H23" s="321"/>
      <c r="I23" s="321">
        <v>0</v>
      </c>
      <c r="J23" s="270">
        <v>100</v>
      </c>
      <c r="K23" s="271">
        <v>53.1</v>
      </c>
      <c r="L23" s="263">
        <f t="shared" si="0"/>
        <v>5310</v>
      </c>
    </row>
    <row r="24" spans="1:12" ht="15.75" x14ac:dyDescent="0.25">
      <c r="A24" s="7"/>
      <c r="B24" s="320">
        <v>45231</v>
      </c>
      <c r="C24" s="320">
        <v>45231</v>
      </c>
      <c r="D24" s="269">
        <v>20369</v>
      </c>
      <c r="E24" s="338" t="s">
        <v>1002</v>
      </c>
      <c r="F24" s="321" t="s">
        <v>996</v>
      </c>
      <c r="G24" s="321" t="s">
        <v>1003</v>
      </c>
      <c r="H24" s="321"/>
      <c r="I24" s="321">
        <v>0</v>
      </c>
      <c r="J24" s="270">
        <v>12</v>
      </c>
      <c r="K24" s="272">
        <v>1416</v>
      </c>
      <c r="L24" s="263">
        <f t="shared" si="0"/>
        <v>16992</v>
      </c>
    </row>
    <row r="25" spans="1:12" ht="15.75" x14ac:dyDescent="0.25">
      <c r="A25" s="7"/>
      <c r="B25" s="320">
        <v>45231</v>
      </c>
      <c r="C25" s="320">
        <v>45231</v>
      </c>
      <c r="D25" s="269">
        <v>19205</v>
      </c>
      <c r="E25" s="338" t="s">
        <v>1005</v>
      </c>
      <c r="F25" s="321" t="s">
        <v>996</v>
      </c>
      <c r="G25" s="321" t="s">
        <v>1003</v>
      </c>
      <c r="H25" s="321"/>
      <c r="I25" s="321">
        <v>0</v>
      </c>
      <c r="J25" s="270">
        <v>22</v>
      </c>
      <c r="K25" s="271">
        <v>283.2</v>
      </c>
      <c r="L25" s="263">
        <f t="shared" si="0"/>
        <v>6230.4</v>
      </c>
    </row>
    <row r="26" spans="1:12" ht="15.75" x14ac:dyDescent="0.25">
      <c r="A26" s="7"/>
      <c r="B26" s="320">
        <v>45231</v>
      </c>
      <c r="C26" s="320">
        <v>45231</v>
      </c>
      <c r="D26" s="269">
        <v>11925</v>
      </c>
      <c r="E26" s="338" t="s">
        <v>1006</v>
      </c>
      <c r="F26" s="321" t="s">
        <v>996</v>
      </c>
      <c r="G26" s="321" t="s">
        <v>998</v>
      </c>
      <c r="H26" s="321"/>
      <c r="I26" s="321">
        <v>0</v>
      </c>
      <c r="J26" s="270">
        <v>3</v>
      </c>
      <c r="K26" s="271">
        <v>2389.9699999999998</v>
      </c>
      <c r="L26" s="263">
        <f t="shared" si="0"/>
        <v>7169.91</v>
      </c>
    </row>
    <row r="27" spans="1:12" ht="15.75" x14ac:dyDescent="0.25">
      <c r="A27" s="7"/>
      <c r="B27" s="320">
        <v>45231</v>
      </c>
      <c r="C27" s="320">
        <v>45231</v>
      </c>
      <c r="D27" s="269">
        <v>17582</v>
      </c>
      <c r="E27" s="338" t="s">
        <v>1007</v>
      </c>
      <c r="F27" s="321" t="s">
        <v>996</v>
      </c>
      <c r="G27" s="321" t="s">
        <v>643</v>
      </c>
      <c r="H27" s="321"/>
      <c r="I27" s="321">
        <v>2</v>
      </c>
      <c r="J27" s="270">
        <v>58</v>
      </c>
      <c r="K27" s="272">
        <v>53.1</v>
      </c>
      <c r="L27" s="263">
        <f t="shared" si="0"/>
        <v>3079.8</v>
      </c>
    </row>
    <row r="28" spans="1:12" ht="15.75" x14ac:dyDescent="0.25">
      <c r="A28" s="7"/>
      <c r="B28" s="320">
        <v>45289</v>
      </c>
      <c r="C28" s="320">
        <v>45289</v>
      </c>
      <c r="D28" s="269">
        <v>21154</v>
      </c>
      <c r="E28" s="338" t="s">
        <v>1008</v>
      </c>
      <c r="F28" s="321" t="s">
        <v>996</v>
      </c>
      <c r="G28" s="321" t="s">
        <v>1004</v>
      </c>
      <c r="H28" s="321"/>
      <c r="I28" s="321">
        <v>28</v>
      </c>
      <c r="J28" s="270">
        <v>91</v>
      </c>
      <c r="K28" s="272">
        <v>700</v>
      </c>
      <c r="L28" s="263">
        <f t="shared" si="0"/>
        <v>63700</v>
      </c>
    </row>
    <row r="29" spans="1:12" ht="15.75" x14ac:dyDescent="0.25">
      <c r="A29" s="7"/>
      <c r="B29" s="320">
        <v>45231</v>
      </c>
      <c r="C29" s="320">
        <v>45231</v>
      </c>
      <c r="D29" s="269">
        <v>4666</v>
      </c>
      <c r="E29" s="338" t="s">
        <v>1009</v>
      </c>
      <c r="F29" s="321" t="s">
        <v>996</v>
      </c>
      <c r="G29" s="321" t="s">
        <v>1010</v>
      </c>
      <c r="H29" s="321"/>
      <c r="I29" s="321">
        <v>0</v>
      </c>
      <c r="J29" s="270">
        <v>3</v>
      </c>
      <c r="K29" s="272">
        <v>413</v>
      </c>
      <c r="L29" s="263">
        <f t="shared" si="0"/>
        <v>1239</v>
      </c>
    </row>
    <row r="30" spans="1:12" ht="15.75" x14ac:dyDescent="0.25">
      <c r="A30" s="7"/>
      <c r="B30" s="320">
        <v>45231</v>
      </c>
      <c r="C30" s="320">
        <v>45231</v>
      </c>
      <c r="D30" s="269">
        <v>13650</v>
      </c>
      <c r="E30" s="338" t="s">
        <v>1011</v>
      </c>
      <c r="F30" s="321" t="s">
        <v>996</v>
      </c>
      <c r="G30" s="321" t="s">
        <v>468</v>
      </c>
      <c r="H30" s="321"/>
      <c r="I30" s="321">
        <v>27</v>
      </c>
      <c r="J30" s="270">
        <v>140</v>
      </c>
      <c r="K30" s="271">
        <v>389.4</v>
      </c>
      <c r="L30" s="263">
        <f t="shared" si="0"/>
        <v>54516</v>
      </c>
    </row>
    <row r="31" spans="1:12" ht="15.75" x14ac:dyDescent="0.25">
      <c r="A31" s="7"/>
      <c r="B31" s="320">
        <v>44929</v>
      </c>
      <c r="C31" s="320">
        <v>44929</v>
      </c>
      <c r="D31" s="269">
        <v>9874</v>
      </c>
      <c r="E31" s="338" t="s">
        <v>1012</v>
      </c>
      <c r="F31" s="321" t="s">
        <v>996</v>
      </c>
      <c r="G31" s="321" t="s">
        <v>1010</v>
      </c>
      <c r="H31" s="321">
        <v>800</v>
      </c>
      <c r="I31" s="321">
        <v>1490</v>
      </c>
      <c r="J31" s="270">
        <v>314</v>
      </c>
      <c r="K31" s="271">
        <v>118</v>
      </c>
      <c r="L31" s="263">
        <f t="shared" si="0"/>
        <v>37052</v>
      </c>
    </row>
    <row r="32" spans="1:12" ht="15.75" x14ac:dyDescent="0.25">
      <c r="A32" s="7"/>
      <c r="B32" s="320">
        <v>45231</v>
      </c>
      <c r="C32" s="320">
        <v>45231</v>
      </c>
      <c r="D32" s="269">
        <v>3340</v>
      </c>
      <c r="E32" s="338" t="s">
        <v>1013</v>
      </c>
      <c r="F32" s="321" t="s">
        <v>996</v>
      </c>
      <c r="G32" s="321" t="s">
        <v>468</v>
      </c>
      <c r="H32" s="321"/>
      <c r="I32" s="321">
        <v>248</v>
      </c>
      <c r="J32" s="270">
        <v>18</v>
      </c>
      <c r="K32" s="272">
        <v>112.45</v>
      </c>
      <c r="L32" s="263">
        <f t="shared" si="0"/>
        <v>2024.1000000000001</v>
      </c>
    </row>
    <row r="33" spans="1:12" ht="15.75" x14ac:dyDescent="0.25">
      <c r="A33" s="7"/>
      <c r="B33" s="320">
        <v>45231</v>
      </c>
      <c r="C33" s="320">
        <v>45231</v>
      </c>
      <c r="D33" s="269">
        <v>13652</v>
      </c>
      <c r="E33" s="338" t="s">
        <v>1014</v>
      </c>
      <c r="F33" s="321" t="s">
        <v>996</v>
      </c>
      <c r="G33" s="321" t="s">
        <v>998</v>
      </c>
      <c r="H33" s="321"/>
      <c r="I33" s="321">
        <v>0</v>
      </c>
      <c r="J33" s="270">
        <v>23</v>
      </c>
      <c r="K33" s="272">
        <v>115.64</v>
      </c>
      <c r="L33" s="263">
        <f t="shared" si="0"/>
        <v>2659.72</v>
      </c>
    </row>
    <row r="34" spans="1:12" ht="15.75" x14ac:dyDescent="0.25">
      <c r="A34" s="7"/>
      <c r="B34" s="320">
        <v>45231</v>
      </c>
      <c r="C34" s="320">
        <v>45231</v>
      </c>
      <c r="D34" s="269">
        <v>9576</v>
      </c>
      <c r="E34" s="338" t="s">
        <v>1015</v>
      </c>
      <c r="F34" s="321" t="s">
        <v>996</v>
      </c>
      <c r="G34" s="321" t="s">
        <v>468</v>
      </c>
      <c r="H34" s="321"/>
      <c r="I34" s="321">
        <v>0</v>
      </c>
      <c r="J34" s="270">
        <v>1</v>
      </c>
      <c r="K34" s="272">
        <v>550.6</v>
      </c>
      <c r="L34" s="263">
        <f t="shared" si="0"/>
        <v>550.6</v>
      </c>
    </row>
    <row r="35" spans="1:12" ht="30" x14ac:dyDescent="0.25">
      <c r="A35" s="7"/>
      <c r="B35" s="320">
        <v>45231</v>
      </c>
      <c r="C35" s="320">
        <v>45231</v>
      </c>
      <c r="D35" s="269">
        <v>13477</v>
      </c>
      <c r="E35" s="338" t="s">
        <v>1016</v>
      </c>
      <c r="F35" s="321" t="s">
        <v>1017</v>
      </c>
      <c r="G35" s="321" t="s">
        <v>468</v>
      </c>
      <c r="H35" s="321"/>
      <c r="I35" s="321">
        <v>0</v>
      </c>
      <c r="J35" s="270">
        <v>6</v>
      </c>
      <c r="K35" s="271">
        <v>2124</v>
      </c>
      <c r="L35" s="263">
        <f t="shared" si="0"/>
        <v>12744</v>
      </c>
    </row>
    <row r="36" spans="1:12" ht="30" x14ac:dyDescent="0.25">
      <c r="A36" s="7"/>
      <c r="B36" s="320">
        <v>45231</v>
      </c>
      <c r="C36" s="320">
        <v>45231</v>
      </c>
      <c r="D36" s="269">
        <v>9150</v>
      </c>
      <c r="E36" s="338" t="s">
        <v>1018</v>
      </c>
      <c r="F36" s="321" t="s">
        <v>1017</v>
      </c>
      <c r="G36" s="321" t="s">
        <v>468</v>
      </c>
      <c r="H36" s="321"/>
      <c r="I36" s="321">
        <v>0</v>
      </c>
      <c r="J36" s="270">
        <v>4</v>
      </c>
      <c r="K36" s="272">
        <v>2714</v>
      </c>
      <c r="L36" s="263">
        <f t="shared" si="0"/>
        <v>10856</v>
      </c>
    </row>
    <row r="37" spans="1:12" ht="15.75" x14ac:dyDescent="0.25">
      <c r="A37" s="7"/>
      <c r="B37" s="320">
        <v>45231</v>
      </c>
      <c r="C37" s="320">
        <v>45231</v>
      </c>
      <c r="D37" s="269">
        <v>16069</v>
      </c>
      <c r="E37" s="338" t="s">
        <v>1019</v>
      </c>
      <c r="F37" s="321" t="s">
        <v>1017</v>
      </c>
      <c r="G37" s="321" t="s">
        <v>468</v>
      </c>
      <c r="H37" s="321"/>
      <c r="I37" s="321">
        <v>0</v>
      </c>
      <c r="J37" s="270">
        <v>3</v>
      </c>
      <c r="K37" s="271">
        <v>2006</v>
      </c>
      <c r="L37" s="263">
        <f t="shared" si="0"/>
        <v>6018</v>
      </c>
    </row>
    <row r="38" spans="1:12" ht="30" x14ac:dyDescent="0.25">
      <c r="A38" s="7"/>
      <c r="B38" s="320">
        <v>45231</v>
      </c>
      <c r="C38" s="320">
        <v>45231</v>
      </c>
      <c r="D38" s="269">
        <v>21599</v>
      </c>
      <c r="E38" s="338" t="s">
        <v>1020</v>
      </c>
      <c r="F38" s="321" t="s">
        <v>1017</v>
      </c>
      <c r="G38" s="321" t="s">
        <v>468</v>
      </c>
      <c r="H38" s="321"/>
      <c r="I38" s="321">
        <v>0</v>
      </c>
      <c r="J38" s="270">
        <v>3</v>
      </c>
      <c r="K38" s="272">
        <v>1770</v>
      </c>
      <c r="L38" s="263">
        <f t="shared" si="0"/>
        <v>5310</v>
      </c>
    </row>
    <row r="39" spans="1:12" ht="30" x14ac:dyDescent="0.25">
      <c r="A39" s="7"/>
      <c r="B39" s="320">
        <v>45231</v>
      </c>
      <c r="C39" s="320">
        <v>45231</v>
      </c>
      <c r="D39" s="269">
        <v>21600</v>
      </c>
      <c r="E39" s="338" t="s">
        <v>1021</v>
      </c>
      <c r="F39" s="321" t="s">
        <v>1017</v>
      </c>
      <c r="G39" s="321" t="s">
        <v>468</v>
      </c>
      <c r="H39" s="321"/>
      <c r="I39" s="321">
        <v>0</v>
      </c>
      <c r="J39" s="270">
        <v>4</v>
      </c>
      <c r="K39" s="271">
        <v>1770</v>
      </c>
      <c r="L39" s="263">
        <f t="shared" si="0"/>
        <v>7080</v>
      </c>
    </row>
    <row r="40" spans="1:12" ht="15.75" x14ac:dyDescent="0.25">
      <c r="A40" s="7"/>
      <c r="B40" s="320">
        <v>45231</v>
      </c>
      <c r="C40" s="320">
        <v>45231</v>
      </c>
      <c r="D40" s="269">
        <v>16068</v>
      </c>
      <c r="E40" s="338" t="s">
        <v>1022</v>
      </c>
      <c r="F40" s="321" t="s">
        <v>1017</v>
      </c>
      <c r="G40" s="321" t="s">
        <v>468</v>
      </c>
      <c r="H40" s="321"/>
      <c r="I40" s="321">
        <v>0</v>
      </c>
      <c r="J40" s="270">
        <v>5</v>
      </c>
      <c r="K40" s="272">
        <v>2500</v>
      </c>
      <c r="L40" s="263">
        <f t="shared" si="0"/>
        <v>12500</v>
      </c>
    </row>
    <row r="41" spans="1:12" ht="15.75" x14ac:dyDescent="0.25">
      <c r="A41" s="7"/>
      <c r="B41" s="320">
        <v>45231</v>
      </c>
      <c r="C41" s="320">
        <v>45231</v>
      </c>
      <c r="D41" s="269">
        <v>165666</v>
      </c>
      <c r="E41" s="338" t="s">
        <v>1023</v>
      </c>
      <c r="F41" s="321" t="s">
        <v>1017</v>
      </c>
      <c r="G41" s="321" t="s">
        <v>468</v>
      </c>
      <c r="H41" s="321"/>
      <c r="I41" s="321">
        <v>0</v>
      </c>
      <c r="J41" s="270">
        <v>1</v>
      </c>
      <c r="K41" s="272">
        <v>1947</v>
      </c>
      <c r="L41" s="263">
        <f t="shared" si="0"/>
        <v>1947</v>
      </c>
    </row>
    <row r="42" spans="1:12" ht="15.75" x14ac:dyDescent="0.25">
      <c r="A42" s="7"/>
      <c r="B42" s="320">
        <v>45231</v>
      </c>
      <c r="C42" s="320">
        <v>45231</v>
      </c>
      <c r="D42" s="269">
        <v>16070</v>
      </c>
      <c r="E42" s="338" t="s">
        <v>1024</v>
      </c>
      <c r="F42" s="321" t="s">
        <v>1017</v>
      </c>
      <c r="G42" s="321" t="s">
        <v>468</v>
      </c>
      <c r="H42" s="321"/>
      <c r="I42" s="321">
        <v>0</v>
      </c>
      <c r="J42" s="270">
        <v>1</v>
      </c>
      <c r="K42" s="271">
        <v>2006</v>
      </c>
      <c r="L42" s="263">
        <f t="shared" si="0"/>
        <v>2006</v>
      </c>
    </row>
    <row r="43" spans="1:12" ht="15.75" x14ac:dyDescent="0.25">
      <c r="A43" s="7"/>
      <c r="B43" s="320">
        <v>45231</v>
      </c>
      <c r="C43" s="320">
        <v>45231</v>
      </c>
      <c r="D43" s="269">
        <v>16072</v>
      </c>
      <c r="E43" s="338" t="s">
        <v>1025</v>
      </c>
      <c r="F43" s="321" t="s">
        <v>1017</v>
      </c>
      <c r="G43" s="321" t="s">
        <v>468</v>
      </c>
      <c r="H43" s="321"/>
      <c r="I43" s="321">
        <v>0</v>
      </c>
      <c r="J43" s="270">
        <v>2</v>
      </c>
      <c r="K43" s="271">
        <v>1600</v>
      </c>
      <c r="L43" s="263">
        <f t="shared" si="0"/>
        <v>3200</v>
      </c>
    </row>
    <row r="44" spans="1:12" ht="15.75" x14ac:dyDescent="0.25">
      <c r="A44" s="7"/>
      <c r="B44" s="320">
        <v>45231</v>
      </c>
      <c r="C44" s="320">
        <v>45231</v>
      </c>
      <c r="D44" s="269">
        <v>16073</v>
      </c>
      <c r="E44" s="338" t="s">
        <v>1026</v>
      </c>
      <c r="F44" s="321" t="s">
        <v>1017</v>
      </c>
      <c r="G44" s="321" t="s">
        <v>468</v>
      </c>
      <c r="H44" s="321"/>
      <c r="I44" s="321">
        <v>0</v>
      </c>
      <c r="J44" s="270">
        <v>3</v>
      </c>
      <c r="K44" s="274">
        <v>2124</v>
      </c>
      <c r="L44" s="263">
        <f t="shared" si="0"/>
        <v>6372</v>
      </c>
    </row>
    <row r="45" spans="1:12" ht="15.75" x14ac:dyDescent="0.25">
      <c r="A45" s="7"/>
      <c r="B45" s="320">
        <v>45231</v>
      </c>
      <c r="C45" s="320">
        <v>45231</v>
      </c>
      <c r="D45" s="269">
        <v>16074</v>
      </c>
      <c r="E45" s="338" t="s">
        <v>1027</v>
      </c>
      <c r="F45" s="321" t="s">
        <v>1017</v>
      </c>
      <c r="G45" s="321" t="s">
        <v>468</v>
      </c>
      <c r="H45" s="321"/>
      <c r="I45" s="321">
        <v>0</v>
      </c>
      <c r="J45" s="270">
        <v>2</v>
      </c>
      <c r="K45" s="271">
        <v>1900</v>
      </c>
      <c r="L45" s="263">
        <f t="shared" si="0"/>
        <v>3800</v>
      </c>
    </row>
    <row r="46" spans="1:12" ht="30" x14ac:dyDescent="0.25">
      <c r="A46" s="7"/>
      <c r="B46" s="320">
        <v>45231</v>
      </c>
      <c r="C46" s="320">
        <v>45231</v>
      </c>
      <c r="D46" s="269">
        <v>16062</v>
      </c>
      <c r="E46" s="338" t="s">
        <v>1028</v>
      </c>
      <c r="F46" s="321" t="s">
        <v>1017</v>
      </c>
      <c r="G46" s="321" t="s">
        <v>468</v>
      </c>
      <c r="H46" s="321"/>
      <c r="I46" s="321">
        <v>0</v>
      </c>
      <c r="J46" s="270">
        <v>1</v>
      </c>
      <c r="K46" s="271">
        <v>2360</v>
      </c>
      <c r="L46" s="263">
        <f t="shared" si="0"/>
        <v>2360</v>
      </c>
    </row>
    <row r="47" spans="1:12" ht="15.75" x14ac:dyDescent="0.25">
      <c r="A47" s="7"/>
      <c r="B47" s="320">
        <v>45231</v>
      </c>
      <c r="C47" s="320">
        <v>45231</v>
      </c>
      <c r="D47" s="269">
        <v>10026</v>
      </c>
      <c r="E47" s="338" t="s">
        <v>1029</v>
      </c>
      <c r="F47" s="321" t="s">
        <v>1017</v>
      </c>
      <c r="G47" s="321" t="s">
        <v>468</v>
      </c>
      <c r="H47" s="321"/>
      <c r="I47" s="321">
        <v>0</v>
      </c>
      <c r="J47" s="270">
        <v>11</v>
      </c>
      <c r="K47" s="272">
        <v>4012</v>
      </c>
      <c r="L47" s="263">
        <f t="shared" si="0"/>
        <v>44132</v>
      </c>
    </row>
    <row r="48" spans="1:12" ht="30" x14ac:dyDescent="0.25">
      <c r="A48" s="7"/>
      <c r="B48" s="320">
        <v>45231</v>
      </c>
      <c r="C48" s="320">
        <v>45231</v>
      </c>
      <c r="D48" s="269">
        <v>16565</v>
      </c>
      <c r="E48" s="338" t="s">
        <v>1030</v>
      </c>
      <c r="F48" s="321" t="s">
        <v>1017</v>
      </c>
      <c r="G48" s="321" t="s">
        <v>468</v>
      </c>
      <c r="H48" s="321"/>
      <c r="I48" s="321">
        <v>0</v>
      </c>
      <c r="J48" s="270">
        <v>1</v>
      </c>
      <c r="K48" s="272">
        <v>2200</v>
      </c>
      <c r="L48" s="263">
        <f t="shared" si="0"/>
        <v>2200</v>
      </c>
    </row>
    <row r="49" spans="1:12" ht="30" x14ac:dyDescent="0.25">
      <c r="A49" s="7"/>
      <c r="B49" s="320">
        <v>45231</v>
      </c>
      <c r="C49" s="320">
        <v>45231</v>
      </c>
      <c r="D49" s="269">
        <v>16077</v>
      </c>
      <c r="E49" s="338" t="s">
        <v>1031</v>
      </c>
      <c r="F49" s="321" t="s">
        <v>1017</v>
      </c>
      <c r="G49" s="321" t="s">
        <v>468</v>
      </c>
      <c r="H49" s="321"/>
      <c r="I49" s="321">
        <v>0</v>
      </c>
      <c r="J49" s="270">
        <v>4</v>
      </c>
      <c r="K49" s="272">
        <v>1750</v>
      </c>
      <c r="L49" s="263">
        <f t="shared" si="0"/>
        <v>7000</v>
      </c>
    </row>
    <row r="50" spans="1:12" ht="30" x14ac:dyDescent="0.25">
      <c r="A50" s="7"/>
      <c r="B50" s="320">
        <v>45231</v>
      </c>
      <c r="C50" s="320">
        <v>45231</v>
      </c>
      <c r="D50" s="269">
        <v>20984</v>
      </c>
      <c r="E50" s="338" t="s">
        <v>1032</v>
      </c>
      <c r="F50" s="321" t="s">
        <v>1017</v>
      </c>
      <c r="G50" s="321" t="s">
        <v>468</v>
      </c>
      <c r="H50" s="321"/>
      <c r="I50" s="321">
        <v>0</v>
      </c>
      <c r="J50" s="270">
        <v>5</v>
      </c>
      <c r="K50" s="272">
        <v>1711</v>
      </c>
      <c r="L50" s="263">
        <f t="shared" si="0"/>
        <v>8555</v>
      </c>
    </row>
    <row r="51" spans="1:12" ht="15.75" x14ac:dyDescent="0.25">
      <c r="A51" s="7"/>
      <c r="B51" s="320">
        <v>45231</v>
      </c>
      <c r="C51" s="320">
        <v>45231</v>
      </c>
      <c r="D51" s="269">
        <v>11532</v>
      </c>
      <c r="E51" s="338" t="s">
        <v>1033</v>
      </c>
      <c r="F51" s="321" t="s">
        <v>1017</v>
      </c>
      <c r="G51" s="321" t="s">
        <v>468</v>
      </c>
      <c r="H51" s="321"/>
      <c r="I51" s="321">
        <v>0</v>
      </c>
      <c r="J51" s="270">
        <v>10</v>
      </c>
      <c r="K51" s="271">
        <v>1900.35</v>
      </c>
      <c r="L51" s="263">
        <f t="shared" si="0"/>
        <v>19003.5</v>
      </c>
    </row>
    <row r="52" spans="1:12" ht="15.75" x14ac:dyDescent="0.25">
      <c r="A52" s="7"/>
      <c r="B52" s="320">
        <v>45231</v>
      </c>
      <c r="C52" s="320">
        <v>45231</v>
      </c>
      <c r="D52" s="269">
        <v>21601</v>
      </c>
      <c r="E52" s="338" t="s">
        <v>1034</v>
      </c>
      <c r="F52" s="321" t="s">
        <v>1017</v>
      </c>
      <c r="G52" s="321" t="s">
        <v>468</v>
      </c>
      <c r="H52" s="321"/>
      <c r="I52" s="321">
        <v>0</v>
      </c>
      <c r="J52" s="270">
        <v>4</v>
      </c>
      <c r="K52" s="271">
        <v>1947</v>
      </c>
      <c r="L52" s="263">
        <f t="shared" si="0"/>
        <v>7788</v>
      </c>
    </row>
    <row r="53" spans="1:12" ht="15.75" x14ac:dyDescent="0.25">
      <c r="A53" s="7"/>
      <c r="B53" s="320">
        <v>45231</v>
      </c>
      <c r="C53" s="320">
        <v>45231</v>
      </c>
      <c r="D53" s="269">
        <v>11533</v>
      </c>
      <c r="E53" s="338" t="s">
        <v>1035</v>
      </c>
      <c r="F53" s="321" t="s">
        <v>1017</v>
      </c>
      <c r="G53" s="321" t="s">
        <v>468</v>
      </c>
      <c r="H53" s="321"/>
      <c r="I53" s="321">
        <v>0</v>
      </c>
      <c r="J53" s="270">
        <v>5</v>
      </c>
      <c r="K53" s="272">
        <v>2360</v>
      </c>
      <c r="L53" s="263">
        <f t="shared" si="0"/>
        <v>11800</v>
      </c>
    </row>
    <row r="54" spans="1:12" ht="30" x14ac:dyDescent="0.25">
      <c r="A54" s="7"/>
      <c r="B54" s="320">
        <v>45231</v>
      </c>
      <c r="C54" s="320">
        <v>45231</v>
      </c>
      <c r="D54" s="269">
        <v>11098</v>
      </c>
      <c r="E54" s="338" t="s">
        <v>1036</v>
      </c>
      <c r="F54" s="321" t="s">
        <v>1017</v>
      </c>
      <c r="G54" s="321" t="s">
        <v>468</v>
      </c>
      <c r="H54" s="321"/>
      <c r="I54" s="321">
        <v>0</v>
      </c>
      <c r="J54" s="270">
        <v>9</v>
      </c>
      <c r="K54" s="272">
        <v>2360</v>
      </c>
      <c r="L54" s="263">
        <f t="shared" si="0"/>
        <v>21240</v>
      </c>
    </row>
    <row r="55" spans="1:12" ht="30" x14ac:dyDescent="0.25">
      <c r="A55" s="7"/>
      <c r="B55" s="320">
        <v>45231</v>
      </c>
      <c r="C55" s="320">
        <v>45231</v>
      </c>
      <c r="D55" s="269">
        <v>16076</v>
      </c>
      <c r="E55" s="338" t="s">
        <v>1037</v>
      </c>
      <c r="F55" s="321" t="s">
        <v>1017</v>
      </c>
      <c r="G55" s="321" t="s">
        <v>468</v>
      </c>
      <c r="H55" s="321"/>
      <c r="I55" s="321">
        <v>0</v>
      </c>
      <c r="J55" s="270">
        <v>4</v>
      </c>
      <c r="K55" s="272">
        <v>1770</v>
      </c>
      <c r="L55" s="263">
        <f t="shared" si="0"/>
        <v>7080</v>
      </c>
    </row>
    <row r="56" spans="1:12" ht="15.75" x14ac:dyDescent="0.25">
      <c r="A56" s="7"/>
      <c r="B56" s="320">
        <v>45231</v>
      </c>
      <c r="C56" s="320">
        <v>45231</v>
      </c>
      <c r="D56" s="269">
        <v>11532</v>
      </c>
      <c r="E56" s="338" t="s">
        <v>1038</v>
      </c>
      <c r="F56" s="321" t="s">
        <v>1017</v>
      </c>
      <c r="G56" s="321" t="s">
        <v>468</v>
      </c>
      <c r="H56" s="321"/>
      <c r="I56" s="321">
        <v>0</v>
      </c>
      <c r="J56" s="270">
        <v>1</v>
      </c>
      <c r="K56" s="272">
        <v>1770</v>
      </c>
      <c r="L56" s="263">
        <f t="shared" si="0"/>
        <v>1770</v>
      </c>
    </row>
    <row r="57" spans="1:12" ht="15.75" x14ac:dyDescent="0.25">
      <c r="A57" s="7"/>
      <c r="B57" s="320">
        <v>45231</v>
      </c>
      <c r="C57" s="320">
        <v>45231</v>
      </c>
      <c r="D57" s="269">
        <v>16081</v>
      </c>
      <c r="E57" s="338" t="s">
        <v>1039</v>
      </c>
      <c r="F57" s="321" t="s">
        <v>1017</v>
      </c>
      <c r="G57" s="321" t="s">
        <v>468</v>
      </c>
      <c r="H57" s="321"/>
      <c r="I57" s="321">
        <v>0</v>
      </c>
      <c r="J57" s="270">
        <v>4</v>
      </c>
      <c r="K57" s="272">
        <v>2006</v>
      </c>
      <c r="L57" s="263">
        <f t="shared" si="0"/>
        <v>8024</v>
      </c>
    </row>
    <row r="58" spans="1:12" ht="30" x14ac:dyDescent="0.25">
      <c r="A58" s="7"/>
      <c r="B58" s="320">
        <v>45231</v>
      </c>
      <c r="C58" s="320">
        <v>45231</v>
      </c>
      <c r="D58" s="269">
        <v>9149</v>
      </c>
      <c r="E58" s="338" t="s">
        <v>1040</v>
      </c>
      <c r="F58" s="321" t="s">
        <v>1017</v>
      </c>
      <c r="G58" s="321" t="s">
        <v>468</v>
      </c>
      <c r="H58" s="321"/>
      <c r="I58" s="321">
        <v>0</v>
      </c>
      <c r="J58" s="270">
        <v>4</v>
      </c>
      <c r="K58" s="271">
        <v>2124</v>
      </c>
      <c r="L58" s="263">
        <f t="shared" si="0"/>
        <v>8496</v>
      </c>
    </row>
    <row r="59" spans="1:12" ht="15.75" x14ac:dyDescent="0.25">
      <c r="A59" s="7"/>
      <c r="B59" s="320">
        <v>45231</v>
      </c>
      <c r="C59" s="320">
        <v>45231</v>
      </c>
      <c r="D59" s="269">
        <v>16091</v>
      </c>
      <c r="E59" s="338" t="s">
        <v>1041</v>
      </c>
      <c r="F59" s="321" t="s">
        <v>467</v>
      </c>
      <c r="G59" s="321" t="s">
        <v>468</v>
      </c>
      <c r="H59" s="321"/>
      <c r="I59" s="321">
        <v>8</v>
      </c>
      <c r="J59" s="270">
        <v>20</v>
      </c>
      <c r="K59" s="272">
        <v>207.68</v>
      </c>
      <c r="L59" s="263">
        <f t="shared" si="0"/>
        <v>4153.6000000000004</v>
      </c>
    </row>
    <row r="60" spans="1:12" ht="15.75" x14ac:dyDescent="0.25">
      <c r="A60" s="7"/>
      <c r="B60" s="320" t="s">
        <v>2408</v>
      </c>
      <c r="C60" s="320" t="s">
        <v>2408</v>
      </c>
      <c r="D60" s="269">
        <v>6121</v>
      </c>
      <c r="E60" s="338" t="s">
        <v>1042</v>
      </c>
      <c r="F60" s="321" t="s">
        <v>467</v>
      </c>
      <c r="G60" s="321" t="s">
        <v>468</v>
      </c>
      <c r="H60" s="321"/>
      <c r="I60" s="321">
        <v>338</v>
      </c>
      <c r="J60" s="270">
        <v>52</v>
      </c>
      <c r="K60" s="272">
        <f>62+11.16</f>
        <v>73.16</v>
      </c>
      <c r="L60" s="263">
        <f t="shared" si="0"/>
        <v>3804.3199999999997</v>
      </c>
    </row>
    <row r="61" spans="1:12" ht="15.75" x14ac:dyDescent="0.25">
      <c r="A61" s="7"/>
      <c r="B61" s="320" t="s">
        <v>2408</v>
      </c>
      <c r="C61" s="320" t="s">
        <v>2408</v>
      </c>
      <c r="D61" s="269">
        <v>6415</v>
      </c>
      <c r="E61" s="338" t="s">
        <v>1043</v>
      </c>
      <c r="F61" s="321" t="s">
        <v>467</v>
      </c>
      <c r="G61" s="321" t="s">
        <v>468</v>
      </c>
      <c r="H61" s="321"/>
      <c r="I61" s="321">
        <v>666</v>
      </c>
      <c r="J61" s="270">
        <v>1</v>
      </c>
      <c r="K61" s="272">
        <v>41.89</v>
      </c>
      <c r="L61" s="263">
        <f t="shared" si="0"/>
        <v>41.89</v>
      </c>
    </row>
    <row r="62" spans="1:12" ht="15.75" x14ac:dyDescent="0.25">
      <c r="A62" s="7"/>
      <c r="B62" s="320">
        <v>45231</v>
      </c>
      <c r="C62" s="320">
        <v>45231</v>
      </c>
      <c r="D62" s="269">
        <v>16707</v>
      </c>
      <c r="E62" s="338" t="s">
        <v>1044</v>
      </c>
      <c r="F62" s="321" t="s">
        <v>467</v>
      </c>
      <c r="G62" s="321" t="s">
        <v>468</v>
      </c>
      <c r="H62" s="321"/>
      <c r="I62" s="321">
        <v>5</v>
      </c>
      <c r="J62" s="270">
        <v>52</v>
      </c>
      <c r="K62" s="271">
        <v>2250</v>
      </c>
      <c r="L62" s="263">
        <f t="shared" si="0"/>
        <v>117000</v>
      </c>
    </row>
    <row r="63" spans="1:12" ht="15.75" x14ac:dyDescent="0.25">
      <c r="A63" s="7"/>
      <c r="B63" s="320">
        <v>45231</v>
      </c>
      <c r="C63" s="320">
        <v>45231</v>
      </c>
      <c r="D63" s="269">
        <v>11065</v>
      </c>
      <c r="E63" s="338" t="s">
        <v>1045</v>
      </c>
      <c r="F63" s="321" t="s">
        <v>467</v>
      </c>
      <c r="G63" s="321" t="s">
        <v>468</v>
      </c>
      <c r="H63" s="321"/>
      <c r="I63" s="321">
        <v>300</v>
      </c>
      <c r="J63" s="270">
        <v>1200</v>
      </c>
      <c r="K63" s="272">
        <v>14.16</v>
      </c>
      <c r="L63" s="263">
        <f t="shared" si="0"/>
        <v>16992</v>
      </c>
    </row>
    <row r="64" spans="1:12" ht="15.75" x14ac:dyDescent="0.25">
      <c r="A64" s="7"/>
      <c r="B64" s="320">
        <v>45231</v>
      </c>
      <c r="C64" s="320">
        <v>45231</v>
      </c>
      <c r="D64" s="269">
        <v>5924</v>
      </c>
      <c r="E64" s="338" t="s">
        <v>1046</v>
      </c>
      <c r="F64" s="321" t="s">
        <v>467</v>
      </c>
      <c r="G64" s="321" t="s">
        <v>508</v>
      </c>
      <c r="H64" s="321"/>
      <c r="I64" s="321">
        <v>11</v>
      </c>
      <c r="J64" s="270">
        <v>229</v>
      </c>
      <c r="K64" s="271">
        <v>180</v>
      </c>
      <c r="L64" s="263">
        <f t="shared" si="0"/>
        <v>41220</v>
      </c>
    </row>
    <row r="65" spans="1:12" ht="15.75" x14ac:dyDescent="0.25">
      <c r="A65" s="7"/>
      <c r="B65" s="320">
        <v>45231</v>
      </c>
      <c r="C65" s="320">
        <v>45231</v>
      </c>
      <c r="D65" s="269">
        <v>21175</v>
      </c>
      <c r="E65" s="338" t="s">
        <v>1047</v>
      </c>
      <c r="F65" s="321" t="s">
        <v>467</v>
      </c>
      <c r="G65" s="321" t="s">
        <v>468</v>
      </c>
      <c r="H65" s="321"/>
      <c r="I65" s="321">
        <v>0</v>
      </c>
      <c r="J65" s="270">
        <v>20</v>
      </c>
      <c r="K65" s="271">
        <v>1126.9000000000001</v>
      </c>
      <c r="L65" s="263">
        <f t="shared" si="0"/>
        <v>22538</v>
      </c>
    </row>
    <row r="66" spans="1:12" ht="30" x14ac:dyDescent="0.25">
      <c r="A66" s="7"/>
      <c r="B66" s="320">
        <v>45231</v>
      </c>
      <c r="C66" s="320">
        <v>45231</v>
      </c>
      <c r="D66" s="269">
        <v>16827</v>
      </c>
      <c r="E66" s="338" t="s">
        <v>1048</v>
      </c>
      <c r="F66" s="321" t="s">
        <v>467</v>
      </c>
      <c r="G66" s="321" t="s">
        <v>468</v>
      </c>
      <c r="H66" s="321"/>
      <c r="I66" s="321">
        <v>20</v>
      </c>
      <c r="J66" s="270">
        <v>80</v>
      </c>
      <c r="K66" s="272">
        <f>647.4+116.53</f>
        <v>763.93</v>
      </c>
      <c r="L66" s="263">
        <f t="shared" si="0"/>
        <v>61114.399999999994</v>
      </c>
    </row>
    <row r="67" spans="1:12" ht="15.75" x14ac:dyDescent="0.25">
      <c r="A67" s="7"/>
      <c r="B67" s="320">
        <v>45231</v>
      </c>
      <c r="C67" s="320">
        <v>45231</v>
      </c>
      <c r="D67" s="269">
        <v>6438</v>
      </c>
      <c r="E67" s="338" t="s">
        <v>1049</v>
      </c>
      <c r="F67" s="321" t="s">
        <v>467</v>
      </c>
      <c r="G67" s="321" t="s">
        <v>468</v>
      </c>
      <c r="H67" s="321"/>
      <c r="I67" s="321">
        <v>0</v>
      </c>
      <c r="J67" s="270">
        <v>401</v>
      </c>
      <c r="K67" s="271">
        <f>35+6.3</f>
        <v>41.3</v>
      </c>
      <c r="L67" s="263">
        <f t="shared" si="0"/>
        <v>16561.3</v>
      </c>
    </row>
    <row r="68" spans="1:12" ht="15.75" x14ac:dyDescent="0.25">
      <c r="A68" s="7"/>
      <c r="B68" s="320">
        <v>45231</v>
      </c>
      <c r="C68" s="320">
        <v>45231</v>
      </c>
      <c r="D68" s="269">
        <v>16858</v>
      </c>
      <c r="E68" s="338" t="s">
        <v>1050</v>
      </c>
      <c r="F68" s="321" t="s">
        <v>467</v>
      </c>
      <c r="G68" s="321" t="s">
        <v>468</v>
      </c>
      <c r="H68" s="321"/>
      <c r="I68" s="321">
        <v>0</v>
      </c>
      <c r="J68" s="270">
        <v>3</v>
      </c>
      <c r="K68" s="271">
        <v>542.79999999999995</v>
      </c>
      <c r="L68" s="263">
        <f t="shared" si="0"/>
        <v>1628.3999999999999</v>
      </c>
    </row>
    <row r="69" spans="1:12" ht="15.75" x14ac:dyDescent="0.25">
      <c r="A69" s="7"/>
      <c r="B69" s="320">
        <v>45231</v>
      </c>
      <c r="C69" s="320">
        <v>45231</v>
      </c>
      <c r="D69" s="269">
        <v>16857</v>
      </c>
      <c r="E69" s="338" t="s">
        <v>1051</v>
      </c>
      <c r="F69" s="321" t="s">
        <v>467</v>
      </c>
      <c r="G69" s="321" t="s">
        <v>468</v>
      </c>
      <c r="H69" s="321"/>
      <c r="I69" s="321">
        <v>0</v>
      </c>
      <c r="J69" s="270">
        <v>9</v>
      </c>
      <c r="K69" s="272">
        <v>542.79999999999995</v>
      </c>
      <c r="L69" s="263">
        <f t="shared" si="0"/>
        <v>4885.2</v>
      </c>
    </row>
    <row r="70" spans="1:12" ht="15.75" x14ac:dyDescent="0.25">
      <c r="A70" s="7"/>
      <c r="B70" s="320">
        <v>45231</v>
      </c>
      <c r="C70" s="320">
        <v>45231</v>
      </c>
      <c r="D70" s="269">
        <v>18210</v>
      </c>
      <c r="E70" s="338" t="s">
        <v>1052</v>
      </c>
      <c r="F70" s="321" t="s">
        <v>467</v>
      </c>
      <c r="G70" s="321" t="s">
        <v>468</v>
      </c>
      <c r="H70" s="321"/>
      <c r="I70" s="321">
        <v>0</v>
      </c>
      <c r="J70" s="270">
        <v>5</v>
      </c>
      <c r="K70" s="272">
        <v>542.79999999999995</v>
      </c>
      <c r="L70" s="263">
        <f t="shared" si="0"/>
        <v>2714</v>
      </c>
    </row>
    <row r="71" spans="1:12" ht="15.75" x14ac:dyDescent="0.25">
      <c r="A71" s="7"/>
      <c r="B71" s="320">
        <v>45231</v>
      </c>
      <c r="C71" s="320">
        <v>45231</v>
      </c>
      <c r="D71" s="269">
        <v>16859</v>
      </c>
      <c r="E71" s="338" t="s">
        <v>1053</v>
      </c>
      <c r="F71" s="321" t="s">
        <v>467</v>
      </c>
      <c r="G71" s="321" t="s">
        <v>468</v>
      </c>
      <c r="H71" s="321"/>
      <c r="I71" s="321">
        <v>0</v>
      </c>
      <c r="J71" s="270">
        <v>8</v>
      </c>
      <c r="K71" s="272">
        <v>542.79999999999995</v>
      </c>
      <c r="L71" s="263">
        <f t="shared" si="0"/>
        <v>4342.3999999999996</v>
      </c>
    </row>
    <row r="72" spans="1:12" ht="15.75" x14ac:dyDescent="0.25">
      <c r="A72" s="7"/>
      <c r="B72" s="320">
        <v>45231</v>
      </c>
      <c r="C72" s="320">
        <v>45231</v>
      </c>
      <c r="D72" s="269">
        <v>4581</v>
      </c>
      <c r="E72" s="338" t="s">
        <v>1054</v>
      </c>
      <c r="F72" s="321" t="s">
        <v>467</v>
      </c>
      <c r="G72" s="321" t="s">
        <v>468</v>
      </c>
      <c r="H72" s="321"/>
      <c r="I72" s="321">
        <v>0</v>
      </c>
      <c r="J72" s="270">
        <v>3000</v>
      </c>
      <c r="K72" s="271">
        <v>20.059999999999999</v>
      </c>
      <c r="L72" s="263">
        <f t="shared" si="0"/>
        <v>60179.999999999993</v>
      </c>
    </row>
    <row r="73" spans="1:12" ht="15.75" x14ac:dyDescent="0.25">
      <c r="A73" s="7"/>
      <c r="B73" s="320">
        <v>44937</v>
      </c>
      <c r="C73" s="320">
        <v>44937</v>
      </c>
      <c r="D73" s="269">
        <v>11509</v>
      </c>
      <c r="E73" s="338" t="s">
        <v>2409</v>
      </c>
      <c r="F73" s="321" t="s">
        <v>467</v>
      </c>
      <c r="G73" s="321" t="s">
        <v>468</v>
      </c>
      <c r="H73" s="321"/>
      <c r="I73" s="321">
        <v>6300</v>
      </c>
      <c r="J73" s="270">
        <v>1700</v>
      </c>
      <c r="K73" s="271">
        <v>1.0029999999999999</v>
      </c>
      <c r="L73" s="263">
        <f t="shared" si="0"/>
        <v>1705.1</v>
      </c>
    </row>
    <row r="74" spans="1:12" ht="15.75" x14ac:dyDescent="0.25">
      <c r="A74" s="7"/>
      <c r="B74" s="320">
        <v>45231</v>
      </c>
      <c r="C74" s="320">
        <v>45231</v>
      </c>
      <c r="D74" s="269">
        <v>11508</v>
      </c>
      <c r="E74" s="338" t="s">
        <v>1055</v>
      </c>
      <c r="F74" s="321" t="s">
        <v>467</v>
      </c>
      <c r="G74" s="321" t="s">
        <v>468</v>
      </c>
      <c r="H74" s="321"/>
      <c r="I74" s="321">
        <v>4500</v>
      </c>
      <c r="J74" s="270">
        <v>3100</v>
      </c>
      <c r="K74" s="271">
        <v>1.0029999999999999</v>
      </c>
      <c r="L74" s="263">
        <f t="shared" si="0"/>
        <v>3109.2999999999997</v>
      </c>
    </row>
    <row r="75" spans="1:12" ht="15.75" x14ac:dyDescent="0.25">
      <c r="A75" s="7"/>
      <c r="B75" s="320">
        <v>45231</v>
      </c>
      <c r="C75" s="320">
        <v>45231</v>
      </c>
      <c r="D75" s="269">
        <v>12661</v>
      </c>
      <c r="E75" s="338" t="s">
        <v>1056</v>
      </c>
      <c r="F75" s="321" t="s">
        <v>467</v>
      </c>
      <c r="G75" s="321" t="s">
        <v>468</v>
      </c>
      <c r="H75" s="321"/>
      <c r="I75" s="321">
        <v>0</v>
      </c>
      <c r="J75" s="270">
        <v>2900</v>
      </c>
      <c r="K75" s="271">
        <v>7.08</v>
      </c>
      <c r="L75" s="263">
        <f t="shared" si="0"/>
        <v>20532</v>
      </c>
    </row>
    <row r="76" spans="1:12" ht="15.75" x14ac:dyDescent="0.25">
      <c r="A76" s="7"/>
      <c r="B76" s="320">
        <v>45231</v>
      </c>
      <c r="C76" s="320">
        <v>45231</v>
      </c>
      <c r="D76" s="269">
        <v>4586</v>
      </c>
      <c r="E76" s="338" t="s">
        <v>1057</v>
      </c>
      <c r="F76" s="321" t="s">
        <v>467</v>
      </c>
      <c r="G76" s="321" t="s">
        <v>468</v>
      </c>
      <c r="H76" s="321"/>
      <c r="I76" s="321">
        <v>0</v>
      </c>
      <c r="J76" s="270">
        <v>700</v>
      </c>
      <c r="K76" s="272">
        <v>19.89</v>
      </c>
      <c r="L76" s="263">
        <f t="shared" ref="L76:L139" si="1">+J76*K76</f>
        <v>13923</v>
      </c>
    </row>
    <row r="77" spans="1:12" ht="15.75" x14ac:dyDescent="0.25">
      <c r="A77" s="7"/>
      <c r="B77" s="320">
        <v>45231</v>
      </c>
      <c r="C77" s="320">
        <v>45231</v>
      </c>
      <c r="D77" s="269">
        <v>20450</v>
      </c>
      <c r="E77" s="338" t="s">
        <v>1058</v>
      </c>
      <c r="F77" s="321" t="s">
        <v>467</v>
      </c>
      <c r="G77" s="321" t="s">
        <v>468</v>
      </c>
      <c r="H77" s="321"/>
      <c r="I77" s="321">
        <v>0</v>
      </c>
      <c r="J77" s="270">
        <v>500</v>
      </c>
      <c r="K77" s="272">
        <v>68.44</v>
      </c>
      <c r="L77" s="263">
        <f t="shared" si="1"/>
        <v>34220</v>
      </c>
    </row>
    <row r="78" spans="1:12" ht="15.75" x14ac:dyDescent="0.25">
      <c r="A78" s="7"/>
      <c r="B78" s="320">
        <v>45231</v>
      </c>
      <c r="C78" s="320">
        <v>45231</v>
      </c>
      <c r="D78" s="269">
        <v>16133</v>
      </c>
      <c r="E78" s="338" t="s">
        <v>1059</v>
      </c>
      <c r="F78" s="321" t="s">
        <v>467</v>
      </c>
      <c r="G78" s="321" t="s">
        <v>468</v>
      </c>
      <c r="H78" s="321"/>
      <c r="I78" s="321">
        <v>300</v>
      </c>
      <c r="J78" s="270">
        <v>300</v>
      </c>
      <c r="K78" s="272">
        <v>2.2999999999999998</v>
      </c>
      <c r="L78" s="263">
        <f t="shared" si="1"/>
        <v>690</v>
      </c>
    </row>
    <row r="79" spans="1:12" ht="15.75" x14ac:dyDescent="0.25">
      <c r="A79" s="7"/>
      <c r="B79" s="320">
        <v>45231</v>
      </c>
      <c r="C79" s="320">
        <v>45231</v>
      </c>
      <c r="D79" s="269">
        <v>4654</v>
      </c>
      <c r="E79" s="338" t="s">
        <v>1060</v>
      </c>
      <c r="F79" s="321" t="s">
        <v>1061</v>
      </c>
      <c r="G79" s="321" t="s">
        <v>468</v>
      </c>
      <c r="H79" s="321">
        <v>200</v>
      </c>
      <c r="I79" s="321">
        <v>0</v>
      </c>
      <c r="J79" s="270">
        <v>202</v>
      </c>
      <c r="K79" s="272">
        <v>350</v>
      </c>
      <c r="L79" s="263">
        <f t="shared" si="1"/>
        <v>70700</v>
      </c>
    </row>
    <row r="80" spans="1:12" ht="15.75" x14ac:dyDescent="0.25">
      <c r="A80" s="7"/>
      <c r="B80" s="320">
        <v>45231</v>
      </c>
      <c r="C80" s="320">
        <v>45231</v>
      </c>
      <c r="D80" s="269">
        <v>13766</v>
      </c>
      <c r="E80" s="338" t="s">
        <v>1062</v>
      </c>
      <c r="F80" s="321" t="s">
        <v>1061</v>
      </c>
      <c r="G80" s="321" t="s">
        <v>468</v>
      </c>
      <c r="H80" s="321"/>
      <c r="I80" s="321">
        <v>0</v>
      </c>
      <c r="J80" s="270">
        <v>8</v>
      </c>
      <c r="K80" s="272">
        <v>283.2</v>
      </c>
      <c r="L80" s="263">
        <f t="shared" si="1"/>
        <v>2265.6</v>
      </c>
    </row>
    <row r="81" spans="1:12" ht="15.75" x14ac:dyDescent="0.25">
      <c r="A81" s="7"/>
      <c r="B81" s="320">
        <v>45231</v>
      </c>
      <c r="C81" s="320">
        <v>45231</v>
      </c>
      <c r="D81" s="269">
        <v>18474</v>
      </c>
      <c r="E81" s="338" t="s">
        <v>1063</v>
      </c>
      <c r="F81" s="321" t="s">
        <v>1061</v>
      </c>
      <c r="G81" s="321" t="s">
        <v>468</v>
      </c>
      <c r="H81" s="321"/>
      <c r="I81" s="321">
        <v>0</v>
      </c>
      <c r="J81" s="270">
        <v>10</v>
      </c>
      <c r="K81" s="272">
        <v>1087.96</v>
      </c>
      <c r="L81" s="263">
        <f t="shared" si="1"/>
        <v>10879.6</v>
      </c>
    </row>
    <row r="82" spans="1:12" ht="15.75" x14ac:dyDescent="0.25">
      <c r="A82" s="7"/>
      <c r="B82" s="320">
        <v>45231</v>
      </c>
      <c r="C82" s="320">
        <v>45231</v>
      </c>
      <c r="D82" s="269">
        <v>6909</v>
      </c>
      <c r="E82" s="338" t="s">
        <v>1064</v>
      </c>
      <c r="F82" s="321" t="s">
        <v>1061</v>
      </c>
      <c r="G82" s="321" t="s">
        <v>555</v>
      </c>
      <c r="H82" s="321"/>
      <c r="I82" s="321">
        <v>47</v>
      </c>
      <c r="J82" s="270">
        <v>102</v>
      </c>
      <c r="K82" s="272">
        <v>60</v>
      </c>
      <c r="L82" s="263">
        <f t="shared" si="1"/>
        <v>6120</v>
      </c>
    </row>
    <row r="83" spans="1:12" ht="15.75" x14ac:dyDescent="0.25">
      <c r="A83" s="7"/>
      <c r="B83" s="320">
        <v>45231</v>
      </c>
      <c r="C83" s="320">
        <v>45231</v>
      </c>
      <c r="D83" s="269">
        <v>18615</v>
      </c>
      <c r="E83" s="338" t="s">
        <v>1065</v>
      </c>
      <c r="F83" s="321" t="s">
        <v>1061</v>
      </c>
      <c r="G83" s="321" t="s">
        <v>468</v>
      </c>
      <c r="H83" s="321"/>
      <c r="I83" s="321">
        <v>15</v>
      </c>
      <c r="J83" s="270">
        <v>121</v>
      </c>
      <c r="K83" s="271">
        <v>457.84</v>
      </c>
      <c r="L83" s="263">
        <f t="shared" si="1"/>
        <v>55398.64</v>
      </c>
    </row>
    <row r="84" spans="1:12" ht="15.75" x14ac:dyDescent="0.25">
      <c r="A84" s="7"/>
      <c r="B84" s="320">
        <v>45231</v>
      </c>
      <c r="C84" s="320">
        <v>45231</v>
      </c>
      <c r="D84" s="269">
        <v>3751</v>
      </c>
      <c r="E84" s="338" t="s">
        <v>1066</v>
      </c>
      <c r="F84" s="321" t="s">
        <v>1061</v>
      </c>
      <c r="G84" s="321" t="s">
        <v>468</v>
      </c>
      <c r="H84" s="321"/>
      <c r="I84" s="321">
        <v>0</v>
      </c>
      <c r="J84" s="270">
        <v>30</v>
      </c>
      <c r="K84" s="271">
        <f>360+64.8</f>
        <v>424.8</v>
      </c>
      <c r="L84" s="263">
        <f t="shared" si="1"/>
        <v>12744</v>
      </c>
    </row>
    <row r="85" spans="1:12" ht="15.75" x14ac:dyDescent="0.25">
      <c r="A85" s="7"/>
      <c r="B85" s="320">
        <v>45231</v>
      </c>
      <c r="C85" s="320">
        <v>45231</v>
      </c>
      <c r="D85" s="269">
        <v>11935</v>
      </c>
      <c r="E85" s="338" t="s">
        <v>1067</v>
      </c>
      <c r="F85" s="321" t="s">
        <v>1061</v>
      </c>
      <c r="G85" s="321" t="s">
        <v>468</v>
      </c>
      <c r="H85" s="321"/>
      <c r="I85" s="321">
        <v>1</v>
      </c>
      <c r="J85" s="270">
        <v>65</v>
      </c>
      <c r="K85" s="272">
        <v>40.119999999999997</v>
      </c>
      <c r="L85" s="263">
        <f t="shared" si="1"/>
        <v>2607.7999999999997</v>
      </c>
    </row>
    <row r="86" spans="1:12" ht="15.75" x14ac:dyDescent="0.25">
      <c r="A86" s="7"/>
      <c r="B86" s="320">
        <v>45231</v>
      </c>
      <c r="C86" s="320">
        <v>45231</v>
      </c>
      <c r="D86" s="269">
        <v>5925</v>
      </c>
      <c r="E86" s="338" t="s">
        <v>1068</v>
      </c>
      <c r="F86" s="321" t="s">
        <v>1061</v>
      </c>
      <c r="G86" s="321" t="s">
        <v>468</v>
      </c>
      <c r="H86" s="321"/>
      <c r="I86" s="321">
        <v>7</v>
      </c>
      <c r="J86" s="270">
        <v>232</v>
      </c>
      <c r="K86" s="273">
        <v>44.25</v>
      </c>
      <c r="L86" s="263">
        <f t="shared" si="1"/>
        <v>10266</v>
      </c>
    </row>
    <row r="87" spans="1:12" ht="15.75" x14ac:dyDescent="0.25">
      <c r="A87" s="7"/>
      <c r="B87" s="320">
        <v>45231</v>
      </c>
      <c r="C87" s="320">
        <v>45231</v>
      </c>
      <c r="D87" s="269">
        <v>18529</v>
      </c>
      <c r="E87" s="338" t="s">
        <v>1069</v>
      </c>
      <c r="F87" s="321" t="s">
        <v>1061</v>
      </c>
      <c r="G87" s="321" t="s">
        <v>508</v>
      </c>
      <c r="H87" s="321"/>
      <c r="I87" s="321">
        <v>0</v>
      </c>
      <c r="J87" s="270">
        <v>33</v>
      </c>
      <c r="K87" s="272">
        <f>450+81</f>
        <v>531</v>
      </c>
      <c r="L87" s="263">
        <f t="shared" si="1"/>
        <v>17523</v>
      </c>
    </row>
    <row r="88" spans="1:12" ht="15.75" x14ac:dyDescent="0.25">
      <c r="A88" s="7"/>
      <c r="B88" s="320">
        <v>45231</v>
      </c>
      <c r="C88" s="320">
        <v>45231</v>
      </c>
      <c r="D88" s="269">
        <v>9971</v>
      </c>
      <c r="E88" s="338" t="s">
        <v>1070</v>
      </c>
      <c r="F88" s="321" t="s">
        <v>1061</v>
      </c>
      <c r="G88" s="321" t="s">
        <v>468</v>
      </c>
      <c r="H88" s="321"/>
      <c r="I88" s="321">
        <v>0</v>
      </c>
      <c r="J88" s="270">
        <v>8</v>
      </c>
      <c r="K88" s="271">
        <v>47.87</v>
      </c>
      <c r="L88" s="263">
        <f t="shared" si="1"/>
        <v>382.96</v>
      </c>
    </row>
    <row r="89" spans="1:12" ht="15.75" x14ac:dyDescent="0.25">
      <c r="A89" s="7"/>
      <c r="B89" s="320">
        <v>45231</v>
      </c>
      <c r="C89" s="320">
        <v>45231</v>
      </c>
      <c r="D89" s="269">
        <v>12973</v>
      </c>
      <c r="E89" s="338" t="s">
        <v>1071</v>
      </c>
      <c r="F89" s="321" t="s">
        <v>1061</v>
      </c>
      <c r="G89" s="321" t="s">
        <v>468</v>
      </c>
      <c r="H89" s="321">
        <v>123</v>
      </c>
      <c r="I89" s="321">
        <v>2</v>
      </c>
      <c r="J89" s="270">
        <v>214</v>
      </c>
      <c r="K89" s="271">
        <v>188.8</v>
      </c>
      <c r="L89" s="263">
        <f t="shared" si="1"/>
        <v>40403.200000000004</v>
      </c>
    </row>
    <row r="90" spans="1:12" ht="15.75" x14ac:dyDescent="0.25">
      <c r="A90" s="7"/>
      <c r="B90" s="320">
        <v>45231</v>
      </c>
      <c r="C90" s="320">
        <v>45231</v>
      </c>
      <c r="D90" s="269">
        <v>15720</v>
      </c>
      <c r="E90" s="338" t="s">
        <v>1072</v>
      </c>
      <c r="F90" s="321" t="s">
        <v>1061</v>
      </c>
      <c r="G90" s="321" t="s">
        <v>1073</v>
      </c>
      <c r="H90" s="321"/>
      <c r="I90" s="321">
        <v>0</v>
      </c>
      <c r="J90" s="270">
        <v>131</v>
      </c>
      <c r="K90" s="272">
        <v>105.36</v>
      </c>
      <c r="L90" s="263">
        <f t="shared" si="1"/>
        <v>13802.16</v>
      </c>
    </row>
    <row r="91" spans="1:12" ht="15.75" x14ac:dyDescent="0.25">
      <c r="A91" s="7"/>
      <c r="B91" s="320">
        <v>45231</v>
      </c>
      <c r="C91" s="320">
        <v>45231</v>
      </c>
      <c r="D91" s="269">
        <v>15721</v>
      </c>
      <c r="E91" s="338" t="s">
        <v>1074</v>
      </c>
      <c r="F91" s="321" t="s">
        <v>1061</v>
      </c>
      <c r="G91" s="321" t="s">
        <v>1073</v>
      </c>
      <c r="H91" s="321"/>
      <c r="I91" s="321">
        <v>0</v>
      </c>
      <c r="J91" s="270">
        <v>300</v>
      </c>
      <c r="K91" s="271">
        <v>97.94</v>
      </c>
      <c r="L91" s="263">
        <f t="shared" si="1"/>
        <v>29382</v>
      </c>
    </row>
    <row r="92" spans="1:12" ht="15.75" x14ac:dyDescent="0.25">
      <c r="A92" s="7"/>
      <c r="B92" s="320">
        <v>45231</v>
      </c>
      <c r="C92" s="320">
        <v>45231</v>
      </c>
      <c r="D92" s="269">
        <v>15722</v>
      </c>
      <c r="E92" s="338" t="s">
        <v>1075</v>
      </c>
      <c r="F92" s="321" t="s">
        <v>1061</v>
      </c>
      <c r="G92" s="321" t="s">
        <v>1073</v>
      </c>
      <c r="H92" s="321"/>
      <c r="I92" s="321">
        <v>12</v>
      </c>
      <c r="J92" s="270">
        <v>141</v>
      </c>
      <c r="K92" s="271">
        <v>78.98</v>
      </c>
      <c r="L92" s="263">
        <f t="shared" si="1"/>
        <v>11136.18</v>
      </c>
    </row>
    <row r="93" spans="1:12" ht="15.75" x14ac:dyDescent="0.25">
      <c r="A93" s="7"/>
      <c r="B93" s="320">
        <v>45231</v>
      </c>
      <c r="C93" s="320">
        <v>45231</v>
      </c>
      <c r="D93" s="269">
        <v>15652</v>
      </c>
      <c r="E93" s="338" t="s">
        <v>1076</v>
      </c>
      <c r="F93" s="321" t="s">
        <v>1061</v>
      </c>
      <c r="G93" s="321" t="s">
        <v>1073</v>
      </c>
      <c r="H93" s="321"/>
      <c r="I93" s="321">
        <v>19</v>
      </c>
      <c r="J93" s="270">
        <v>140</v>
      </c>
      <c r="K93" s="271">
        <v>77.88</v>
      </c>
      <c r="L93" s="263">
        <f t="shared" si="1"/>
        <v>10903.199999999999</v>
      </c>
    </row>
    <row r="94" spans="1:12" ht="15.75" x14ac:dyDescent="0.25">
      <c r="A94" s="7"/>
      <c r="B94" s="320">
        <v>45231</v>
      </c>
      <c r="C94" s="320">
        <v>45231</v>
      </c>
      <c r="D94" s="269">
        <v>4656</v>
      </c>
      <c r="E94" s="338" t="s">
        <v>1077</v>
      </c>
      <c r="F94" s="321" t="s">
        <v>1061</v>
      </c>
      <c r="G94" s="321" t="s">
        <v>468</v>
      </c>
      <c r="H94" s="321"/>
      <c r="I94" s="321">
        <v>0</v>
      </c>
      <c r="J94" s="270">
        <v>15</v>
      </c>
      <c r="K94" s="271">
        <v>29.9</v>
      </c>
      <c r="L94" s="263">
        <f t="shared" si="1"/>
        <v>448.5</v>
      </c>
    </row>
    <row r="95" spans="1:12" ht="15.75" x14ac:dyDescent="0.25">
      <c r="A95" s="7"/>
      <c r="B95" s="320">
        <v>45231</v>
      </c>
      <c r="C95" s="320">
        <v>45231</v>
      </c>
      <c r="D95" s="269">
        <v>16018</v>
      </c>
      <c r="E95" s="338" t="s">
        <v>1078</v>
      </c>
      <c r="F95" s="321" t="s">
        <v>1061</v>
      </c>
      <c r="G95" s="321" t="s">
        <v>1073</v>
      </c>
      <c r="H95" s="321"/>
      <c r="I95" s="321">
        <v>9</v>
      </c>
      <c r="J95" s="270">
        <v>171</v>
      </c>
      <c r="K95" s="272">
        <v>9.25</v>
      </c>
      <c r="L95" s="263">
        <f t="shared" si="1"/>
        <v>1581.75</v>
      </c>
    </row>
    <row r="96" spans="1:12" ht="15.75" x14ac:dyDescent="0.25">
      <c r="A96" s="7"/>
      <c r="B96" s="320">
        <v>45231</v>
      </c>
      <c r="C96" s="320">
        <v>45231</v>
      </c>
      <c r="D96" s="269">
        <v>11837</v>
      </c>
      <c r="E96" s="338" t="s">
        <v>1079</v>
      </c>
      <c r="F96" s="321" t="s">
        <v>1061</v>
      </c>
      <c r="G96" s="321" t="s">
        <v>468</v>
      </c>
      <c r="H96" s="321"/>
      <c r="I96" s="321">
        <v>0</v>
      </c>
      <c r="J96" s="270">
        <v>22</v>
      </c>
      <c r="K96" s="272">
        <v>28.14</v>
      </c>
      <c r="L96" s="263">
        <f t="shared" si="1"/>
        <v>619.08000000000004</v>
      </c>
    </row>
    <row r="97" spans="1:12" ht="15.75" x14ac:dyDescent="0.25">
      <c r="A97" s="7"/>
      <c r="B97" s="320">
        <v>45231</v>
      </c>
      <c r="C97" s="320">
        <v>45231</v>
      </c>
      <c r="D97" s="269">
        <v>20927</v>
      </c>
      <c r="E97" s="338" t="s">
        <v>1080</v>
      </c>
      <c r="F97" s="321" t="s">
        <v>1061</v>
      </c>
      <c r="G97" s="321" t="s">
        <v>508</v>
      </c>
      <c r="H97" s="321"/>
      <c r="I97" s="321">
        <v>0</v>
      </c>
      <c r="J97" s="270">
        <v>25</v>
      </c>
      <c r="K97" s="272">
        <v>25.37</v>
      </c>
      <c r="L97" s="263">
        <f t="shared" si="1"/>
        <v>634.25</v>
      </c>
    </row>
    <row r="98" spans="1:12" ht="15.75" x14ac:dyDescent="0.25">
      <c r="A98" s="7"/>
      <c r="B98" s="320">
        <v>45231</v>
      </c>
      <c r="C98" s="320">
        <v>45231</v>
      </c>
      <c r="D98" s="269">
        <v>20926</v>
      </c>
      <c r="E98" s="338" t="s">
        <v>1081</v>
      </c>
      <c r="F98" s="321" t="s">
        <v>1061</v>
      </c>
      <c r="G98" s="321" t="s">
        <v>508</v>
      </c>
      <c r="H98" s="321"/>
      <c r="I98" s="321">
        <v>0</v>
      </c>
      <c r="J98" s="270">
        <v>12</v>
      </c>
      <c r="K98" s="272">
        <v>25.37</v>
      </c>
      <c r="L98" s="263">
        <f t="shared" si="1"/>
        <v>304.44</v>
      </c>
    </row>
    <row r="99" spans="1:12" ht="15.75" x14ac:dyDescent="0.25">
      <c r="A99" s="7"/>
      <c r="B99" s="320">
        <v>45231</v>
      </c>
      <c r="C99" s="320">
        <v>45231</v>
      </c>
      <c r="D99" s="269">
        <v>16041</v>
      </c>
      <c r="E99" s="338" t="s">
        <v>1082</v>
      </c>
      <c r="F99" s="321" t="s">
        <v>1061</v>
      </c>
      <c r="G99" s="321" t="s">
        <v>998</v>
      </c>
      <c r="H99" s="321"/>
      <c r="I99" s="321">
        <v>13</v>
      </c>
      <c r="J99" s="270">
        <v>10</v>
      </c>
      <c r="K99" s="274">
        <v>175.23</v>
      </c>
      <c r="L99" s="263">
        <f t="shared" si="1"/>
        <v>1752.3</v>
      </c>
    </row>
    <row r="100" spans="1:12" ht="15.75" x14ac:dyDescent="0.25">
      <c r="A100" s="7"/>
      <c r="B100" s="320">
        <v>45231</v>
      </c>
      <c r="C100" s="320">
        <v>45231</v>
      </c>
      <c r="D100" s="269">
        <v>6908</v>
      </c>
      <c r="E100" s="338" t="s">
        <v>1083</v>
      </c>
      <c r="F100" s="321" t="s">
        <v>1061</v>
      </c>
      <c r="G100" s="321" t="s">
        <v>555</v>
      </c>
      <c r="H100" s="321"/>
      <c r="I100" s="321">
        <v>0</v>
      </c>
      <c r="J100" s="270">
        <v>43</v>
      </c>
      <c r="K100" s="272">
        <v>60.6</v>
      </c>
      <c r="L100" s="263">
        <f t="shared" si="1"/>
        <v>2605.8000000000002</v>
      </c>
    </row>
    <row r="101" spans="1:12" ht="15.75" x14ac:dyDescent="0.25">
      <c r="A101" s="7"/>
      <c r="B101" s="320">
        <v>45231</v>
      </c>
      <c r="C101" s="320">
        <v>45231</v>
      </c>
      <c r="D101" s="269">
        <v>21581</v>
      </c>
      <c r="E101" s="338" t="s">
        <v>1084</v>
      </c>
      <c r="F101" s="321" t="s">
        <v>1061</v>
      </c>
      <c r="G101" s="321" t="s">
        <v>1073</v>
      </c>
      <c r="H101" s="321"/>
      <c r="I101" s="321">
        <v>0</v>
      </c>
      <c r="J101" s="270">
        <v>491</v>
      </c>
      <c r="K101" s="271">
        <v>59</v>
      </c>
      <c r="L101" s="263">
        <f t="shared" si="1"/>
        <v>28969</v>
      </c>
    </row>
    <row r="102" spans="1:12" ht="15.75" x14ac:dyDescent="0.25">
      <c r="A102" s="7"/>
      <c r="B102" s="320">
        <v>45231</v>
      </c>
      <c r="C102" s="320">
        <v>45231</v>
      </c>
      <c r="D102" s="269">
        <v>4277</v>
      </c>
      <c r="E102" s="338" t="s">
        <v>1085</v>
      </c>
      <c r="F102" s="321" t="s">
        <v>1061</v>
      </c>
      <c r="G102" s="321" t="s">
        <v>1073</v>
      </c>
      <c r="H102" s="321"/>
      <c r="I102" s="321">
        <v>33</v>
      </c>
      <c r="J102" s="270">
        <v>134</v>
      </c>
      <c r="K102" s="271">
        <v>94.4</v>
      </c>
      <c r="L102" s="263">
        <f t="shared" si="1"/>
        <v>12649.6</v>
      </c>
    </row>
    <row r="103" spans="1:12" ht="15.75" x14ac:dyDescent="0.25">
      <c r="A103" s="7"/>
      <c r="B103" s="320">
        <v>45231</v>
      </c>
      <c r="C103" s="320">
        <v>45231</v>
      </c>
      <c r="D103" s="269">
        <v>18007</v>
      </c>
      <c r="E103" s="338" t="s">
        <v>1086</v>
      </c>
      <c r="F103" s="321" t="s">
        <v>1061</v>
      </c>
      <c r="G103" s="321" t="s">
        <v>468</v>
      </c>
      <c r="H103" s="321"/>
      <c r="I103" s="321">
        <v>0</v>
      </c>
      <c r="J103" s="270">
        <v>4</v>
      </c>
      <c r="K103" s="271">
        <v>1200.52</v>
      </c>
      <c r="L103" s="263">
        <f t="shared" si="1"/>
        <v>4802.08</v>
      </c>
    </row>
    <row r="104" spans="1:12" ht="15.75" x14ac:dyDescent="0.25">
      <c r="A104" s="7"/>
      <c r="B104" s="320">
        <v>45231</v>
      </c>
      <c r="C104" s="320">
        <v>45231</v>
      </c>
      <c r="D104" s="269">
        <v>16051</v>
      </c>
      <c r="E104" s="338" t="s">
        <v>1087</v>
      </c>
      <c r="F104" s="321" t="s">
        <v>1061</v>
      </c>
      <c r="G104" s="321" t="s">
        <v>468</v>
      </c>
      <c r="H104" s="321"/>
      <c r="I104" s="321">
        <v>15</v>
      </c>
      <c r="J104" s="270">
        <v>32</v>
      </c>
      <c r="K104" s="271">
        <v>306.8</v>
      </c>
      <c r="L104" s="263">
        <f t="shared" si="1"/>
        <v>9817.6</v>
      </c>
    </row>
    <row r="105" spans="1:12" ht="15.75" x14ac:dyDescent="0.25">
      <c r="A105" s="7"/>
      <c r="B105" s="320" t="s">
        <v>2410</v>
      </c>
      <c r="C105" s="320" t="s">
        <v>2410</v>
      </c>
      <c r="D105" s="269">
        <v>4186</v>
      </c>
      <c r="E105" s="338" t="s">
        <v>1088</v>
      </c>
      <c r="F105" s="321" t="s">
        <v>1061</v>
      </c>
      <c r="G105" s="321" t="s">
        <v>468</v>
      </c>
      <c r="H105" s="321"/>
      <c r="I105" s="321">
        <v>311</v>
      </c>
      <c r="J105" s="270">
        <v>2690</v>
      </c>
      <c r="K105" s="272">
        <v>6.7</v>
      </c>
      <c r="L105" s="263">
        <f t="shared" si="1"/>
        <v>18023</v>
      </c>
    </row>
    <row r="106" spans="1:12" ht="15.75" x14ac:dyDescent="0.25">
      <c r="A106" s="7"/>
      <c r="B106" s="320">
        <v>45231</v>
      </c>
      <c r="C106" s="320">
        <v>45231</v>
      </c>
      <c r="D106" s="269">
        <v>3707</v>
      </c>
      <c r="E106" s="339" t="s">
        <v>1089</v>
      </c>
      <c r="F106" s="321" t="s">
        <v>1061</v>
      </c>
      <c r="G106" s="321" t="s">
        <v>468</v>
      </c>
      <c r="H106" s="321"/>
      <c r="I106" s="321">
        <v>52</v>
      </c>
      <c r="J106" s="270">
        <v>1145</v>
      </c>
      <c r="K106" s="272">
        <v>6.7</v>
      </c>
      <c r="L106" s="263">
        <f t="shared" si="1"/>
        <v>7671.5</v>
      </c>
    </row>
    <row r="107" spans="1:12" ht="15.75" x14ac:dyDescent="0.25">
      <c r="A107" s="7"/>
      <c r="B107" s="320" t="s">
        <v>2410</v>
      </c>
      <c r="C107" s="320" t="s">
        <v>2410</v>
      </c>
      <c r="D107" s="269">
        <v>8524</v>
      </c>
      <c r="E107" s="338" t="s">
        <v>2411</v>
      </c>
      <c r="F107" s="321" t="s">
        <v>1061</v>
      </c>
      <c r="G107" s="321" t="s">
        <v>468</v>
      </c>
      <c r="H107" s="321"/>
      <c r="I107" s="321">
        <v>36</v>
      </c>
      <c r="J107" s="270">
        <v>964</v>
      </c>
      <c r="K107" s="272">
        <v>8.26</v>
      </c>
      <c r="L107" s="263">
        <f t="shared" si="1"/>
        <v>7962.6399999999994</v>
      </c>
    </row>
    <row r="108" spans="1:12" ht="15.75" x14ac:dyDescent="0.25">
      <c r="A108" s="7"/>
      <c r="B108" s="320">
        <v>45231</v>
      </c>
      <c r="C108" s="320">
        <v>45231</v>
      </c>
      <c r="D108" s="269">
        <v>10563</v>
      </c>
      <c r="E108" s="338" t="s">
        <v>1090</v>
      </c>
      <c r="F108" s="321" t="s">
        <v>1061</v>
      </c>
      <c r="G108" s="321" t="s">
        <v>468</v>
      </c>
      <c r="H108" s="321"/>
      <c r="I108" s="321">
        <v>0</v>
      </c>
      <c r="J108" s="270">
        <v>148</v>
      </c>
      <c r="K108" s="272">
        <v>11.4</v>
      </c>
      <c r="L108" s="263">
        <f t="shared" si="1"/>
        <v>1687.2</v>
      </c>
    </row>
    <row r="109" spans="1:12" ht="15.75" x14ac:dyDescent="0.25">
      <c r="A109" s="7"/>
      <c r="B109" s="320">
        <v>45231</v>
      </c>
      <c r="C109" s="320">
        <v>45231</v>
      </c>
      <c r="D109" s="269">
        <v>12655</v>
      </c>
      <c r="E109" s="338" t="s">
        <v>2010</v>
      </c>
      <c r="F109" s="321" t="s">
        <v>1061</v>
      </c>
      <c r="G109" s="321" t="s">
        <v>468</v>
      </c>
      <c r="H109" s="321"/>
      <c r="I109" s="321">
        <v>0</v>
      </c>
      <c r="J109" s="270">
        <v>10</v>
      </c>
      <c r="K109" s="271">
        <v>11.4</v>
      </c>
      <c r="L109" s="263">
        <f t="shared" si="1"/>
        <v>114</v>
      </c>
    </row>
    <row r="110" spans="1:12" ht="15.75" x14ac:dyDescent="0.25">
      <c r="A110" s="7"/>
      <c r="B110" s="320">
        <v>45231</v>
      </c>
      <c r="C110" s="320">
        <v>45231</v>
      </c>
      <c r="D110" s="269">
        <v>6104</v>
      </c>
      <c r="E110" s="338" t="s">
        <v>1091</v>
      </c>
      <c r="F110" s="321" t="s">
        <v>1061</v>
      </c>
      <c r="G110" s="321" t="s">
        <v>468</v>
      </c>
      <c r="H110" s="321"/>
      <c r="I110" s="321">
        <v>0</v>
      </c>
      <c r="J110" s="270">
        <v>89</v>
      </c>
      <c r="K110" s="271">
        <v>34.81</v>
      </c>
      <c r="L110" s="263">
        <f t="shared" si="1"/>
        <v>3098.09</v>
      </c>
    </row>
    <row r="111" spans="1:12" ht="15.75" x14ac:dyDescent="0.25">
      <c r="A111" s="7"/>
      <c r="B111" s="320">
        <v>45231</v>
      </c>
      <c r="C111" s="320">
        <v>45231</v>
      </c>
      <c r="D111" s="269">
        <v>20292</v>
      </c>
      <c r="E111" s="338" t="s">
        <v>1092</v>
      </c>
      <c r="F111" s="321" t="s">
        <v>1061</v>
      </c>
      <c r="G111" s="321" t="s">
        <v>468</v>
      </c>
      <c r="H111" s="321"/>
      <c r="I111" s="321">
        <v>0</v>
      </c>
      <c r="J111" s="270">
        <v>319</v>
      </c>
      <c r="K111" s="271">
        <v>28.32</v>
      </c>
      <c r="L111" s="263">
        <f t="shared" si="1"/>
        <v>9034.08</v>
      </c>
    </row>
    <row r="112" spans="1:12" ht="15.75" x14ac:dyDescent="0.25">
      <c r="A112" s="7"/>
      <c r="B112" s="320">
        <v>45231</v>
      </c>
      <c r="C112" s="320">
        <v>45231</v>
      </c>
      <c r="D112" s="269">
        <v>16679</v>
      </c>
      <c r="E112" s="338" t="s">
        <v>1093</v>
      </c>
      <c r="F112" s="321" t="s">
        <v>1061</v>
      </c>
      <c r="G112" s="321" t="s">
        <v>998</v>
      </c>
      <c r="H112" s="321"/>
      <c r="I112" s="321">
        <v>4</v>
      </c>
      <c r="J112" s="270">
        <v>404</v>
      </c>
      <c r="K112" s="271">
        <v>29.5</v>
      </c>
      <c r="L112" s="263">
        <f t="shared" si="1"/>
        <v>11918</v>
      </c>
    </row>
    <row r="113" spans="1:12" ht="15.75" x14ac:dyDescent="0.25">
      <c r="A113" s="7"/>
      <c r="B113" s="320">
        <v>45231</v>
      </c>
      <c r="C113" s="320">
        <v>45231</v>
      </c>
      <c r="D113" s="269">
        <v>7489</v>
      </c>
      <c r="E113" s="338" t="s">
        <v>1094</v>
      </c>
      <c r="F113" s="321" t="s">
        <v>1061</v>
      </c>
      <c r="G113" s="321" t="s">
        <v>998</v>
      </c>
      <c r="H113" s="321"/>
      <c r="I113" s="321">
        <v>11</v>
      </c>
      <c r="J113" s="270">
        <v>69</v>
      </c>
      <c r="K113" s="271">
        <v>29.5</v>
      </c>
      <c r="L113" s="263">
        <f t="shared" si="1"/>
        <v>2035.5</v>
      </c>
    </row>
    <row r="114" spans="1:12" ht="15.75" x14ac:dyDescent="0.25">
      <c r="A114" s="7"/>
      <c r="B114" s="320" t="s">
        <v>2412</v>
      </c>
      <c r="C114" s="320" t="s">
        <v>2412</v>
      </c>
      <c r="D114" s="269">
        <v>3771</v>
      </c>
      <c r="E114" s="338" t="s">
        <v>1095</v>
      </c>
      <c r="F114" s="321" t="s">
        <v>1061</v>
      </c>
      <c r="G114" s="321" t="s">
        <v>1096</v>
      </c>
      <c r="H114" s="321"/>
      <c r="I114" s="321">
        <v>394</v>
      </c>
      <c r="J114" s="270">
        <v>569</v>
      </c>
      <c r="K114" s="272">
        <v>270</v>
      </c>
      <c r="L114" s="263">
        <f t="shared" si="1"/>
        <v>153630</v>
      </c>
    </row>
    <row r="115" spans="1:12" ht="15.75" x14ac:dyDescent="0.25">
      <c r="A115" s="7"/>
      <c r="B115" s="320">
        <v>45231</v>
      </c>
      <c r="C115" s="320">
        <v>45231</v>
      </c>
      <c r="D115" s="269">
        <v>4543</v>
      </c>
      <c r="E115" s="338" t="s">
        <v>1097</v>
      </c>
      <c r="F115" s="321" t="s">
        <v>1061</v>
      </c>
      <c r="G115" s="321" t="s">
        <v>1096</v>
      </c>
      <c r="H115" s="321"/>
      <c r="I115" s="321">
        <v>3</v>
      </c>
      <c r="J115" s="270">
        <v>5</v>
      </c>
      <c r="K115" s="272">
        <v>708</v>
      </c>
      <c r="L115" s="263">
        <f t="shared" si="1"/>
        <v>3540</v>
      </c>
    </row>
    <row r="116" spans="1:12" ht="15.75" x14ac:dyDescent="0.25">
      <c r="A116" s="7"/>
      <c r="B116" s="320">
        <v>45231</v>
      </c>
      <c r="C116" s="320">
        <v>45231</v>
      </c>
      <c r="D116" s="269">
        <v>8138</v>
      </c>
      <c r="E116" s="338" t="s">
        <v>1098</v>
      </c>
      <c r="F116" s="321" t="s">
        <v>1061</v>
      </c>
      <c r="G116" s="321" t="s">
        <v>468</v>
      </c>
      <c r="H116" s="321"/>
      <c r="I116" s="321">
        <v>0</v>
      </c>
      <c r="J116" s="270">
        <v>35</v>
      </c>
      <c r="K116" s="271">
        <v>239.54</v>
      </c>
      <c r="L116" s="263">
        <f t="shared" si="1"/>
        <v>8383.9</v>
      </c>
    </row>
    <row r="117" spans="1:12" ht="15.75" x14ac:dyDescent="0.25">
      <c r="A117" s="7"/>
      <c r="B117" s="320">
        <v>45231</v>
      </c>
      <c r="C117" s="320">
        <v>45231</v>
      </c>
      <c r="D117" s="269">
        <v>7487</v>
      </c>
      <c r="E117" s="338" t="s">
        <v>1099</v>
      </c>
      <c r="F117" s="321" t="s">
        <v>1061</v>
      </c>
      <c r="G117" s="321" t="s">
        <v>468</v>
      </c>
      <c r="H117" s="321"/>
      <c r="I117" s="321">
        <v>0</v>
      </c>
      <c r="J117" s="270">
        <v>3</v>
      </c>
      <c r="K117" s="272">
        <v>597.08000000000004</v>
      </c>
      <c r="L117" s="263">
        <f t="shared" si="1"/>
        <v>1791.2400000000002</v>
      </c>
    </row>
    <row r="118" spans="1:12" ht="15.75" x14ac:dyDescent="0.25">
      <c r="A118" s="7"/>
      <c r="B118" s="320">
        <v>45231</v>
      </c>
      <c r="C118" s="320">
        <v>45231</v>
      </c>
      <c r="D118" s="269">
        <v>19045</v>
      </c>
      <c r="E118" s="338" t="s">
        <v>1100</v>
      </c>
      <c r="F118" s="321" t="s">
        <v>1101</v>
      </c>
      <c r="G118" s="321" t="s">
        <v>468</v>
      </c>
      <c r="H118" s="321"/>
      <c r="I118" s="321">
        <v>0</v>
      </c>
      <c r="J118" s="270">
        <v>1</v>
      </c>
      <c r="K118" s="272">
        <f>20000+3600</f>
        <v>23600</v>
      </c>
      <c r="L118" s="263">
        <f t="shared" si="1"/>
        <v>23600</v>
      </c>
    </row>
    <row r="119" spans="1:12" ht="15.75" x14ac:dyDescent="0.25">
      <c r="A119" s="7"/>
      <c r="B119" s="320">
        <v>45231</v>
      </c>
      <c r="C119" s="320">
        <v>45231</v>
      </c>
      <c r="D119" s="269">
        <v>14780</v>
      </c>
      <c r="E119" s="338" t="s">
        <v>1102</v>
      </c>
      <c r="F119" s="321" t="s">
        <v>1061</v>
      </c>
      <c r="G119" s="321" t="s">
        <v>468</v>
      </c>
      <c r="H119" s="321"/>
      <c r="I119" s="321">
        <v>0</v>
      </c>
      <c r="J119" s="270">
        <v>16</v>
      </c>
      <c r="K119" s="272">
        <v>50</v>
      </c>
      <c r="L119" s="263">
        <f t="shared" si="1"/>
        <v>800</v>
      </c>
    </row>
    <row r="120" spans="1:12" ht="15.75" x14ac:dyDescent="0.25">
      <c r="A120" s="7"/>
      <c r="B120" s="320">
        <v>45231</v>
      </c>
      <c r="C120" s="320">
        <v>45231</v>
      </c>
      <c r="D120" s="269">
        <v>11469</v>
      </c>
      <c r="E120" s="338" t="s">
        <v>1103</v>
      </c>
      <c r="F120" s="321" t="s">
        <v>1061</v>
      </c>
      <c r="G120" s="321" t="s">
        <v>468</v>
      </c>
      <c r="H120" s="321"/>
      <c r="I120" s="321">
        <v>0</v>
      </c>
      <c r="J120" s="270">
        <v>56</v>
      </c>
      <c r="K120" s="271">
        <v>53.1</v>
      </c>
      <c r="L120" s="263">
        <f t="shared" si="1"/>
        <v>2973.6</v>
      </c>
    </row>
    <row r="121" spans="1:12" ht="15.75" x14ac:dyDescent="0.25">
      <c r="A121" s="7"/>
      <c r="B121" s="320">
        <v>45231</v>
      </c>
      <c r="C121" s="320">
        <v>45231</v>
      </c>
      <c r="D121" s="269">
        <v>3770</v>
      </c>
      <c r="E121" s="338" t="s">
        <v>1104</v>
      </c>
      <c r="F121" s="321" t="s">
        <v>1061</v>
      </c>
      <c r="G121" s="321" t="s">
        <v>468</v>
      </c>
      <c r="H121" s="321"/>
      <c r="I121" s="321">
        <v>14</v>
      </c>
      <c r="J121" s="270">
        <v>212</v>
      </c>
      <c r="K121" s="272">
        <f>35.37+6.36</f>
        <v>41.73</v>
      </c>
      <c r="L121" s="263">
        <f t="shared" si="1"/>
        <v>8846.76</v>
      </c>
    </row>
    <row r="122" spans="1:12" ht="15.75" x14ac:dyDescent="0.25">
      <c r="A122" s="7"/>
      <c r="B122" s="320">
        <v>45231</v>
      </c>
      <c r="C122" s="320">
        <v>45231</v>
      </c>
      <c r="D122" s="269">
        <v>7486</v>
      </c>
      <c r="E122" s="338" t="s">
        <v>1105</v>
      </c>
      <c r="F122" s="321" t="s">
        <v>1061</v>
      </c>
      <c r="G122" s="321" t="s">
        <v>468</v>
      </c>
      <c r="H122" s="321"/>
      <c r="I122" s="321">
        <v>0</v>
      </c>
      <c r="J122" s="270">
        <v>109</v>
      </c>
      <c r="K122" s="271">
        <v>34.692</v>
      </c>
      <c r="L122" s="263">
        <f t="shared" si="1"/>
        <v>3781.4279999999999</v>
      </c>
    </row>
    <row r="123" spans="1:12" ht="15.75" x14ac:dyDescent="0.25">
      <c r="A123" s="7"/>
      <c r="B123" s="320">
        <v>45231</v>
      </c>
      <c r="C123" s="320">
        <v>45231</v>
      </c>
      <c r="D123" s="269">
        <v>3762</v>
      </c>
      <c r="E123" s="338" t="s">
        <v>1106</v>
      </c>
      <c r="F123" s="321" t="s">
        <v>1061</v>
      </c>
      <c r="G123" s="321" t="s">
        <v>468</v>
      </c>
      <c r="H123" s="321"/>
      <c r="I123" s="321">
        <v>0</v>
      </c>
      <c r="J123" s="270">
        <v>3</v>
      </c>
      <c r="K123" s="271">
        <v>154.38</v>
      </c>
      <c r="L123" s="263">
        <f t="shared" si="1"/>
        <v>463.14</v>
      </c>
    </row>
    <row r="124" spans="1:12" ht="15.75" x14ac:dyDescent="0.25">
      <c r="A124" s="7"/>
      <c r="B124" s="320">
        <v>45231</v>
      </c>
      <c r="C124" s="320">
        <v>45231</v>
      </c>
      <c r="D124" s="269">
        <v>3763</v>
      </c>
      <c r="E124" s="338" t="s">
        <v>1107</v>
      </c>
      <c r="F124" s="321" t="s">
        <v>1061</v>
      </c>
      <c r="G124" s="321" t="s">
        <v>468</v>
      </c>
      <c r="H124" s="321"/>
      <c r="I124" s="321">
        <v>0</v>
      </c>
      <c r="J124" s="270">
        <v>4</v>
      </c>
      <c r="K124" s="272">
        <v>280.83999999999997</v>
      </c>
      <c r="L124" s="263">
        <f t="shared" si="1"/>
        <v>1123.3599999999999</v>
      </c>
    </row>
    <row r="125" spans="1:12" ht="15.75" x14ac:dyDescent="0.25">
      <c r="A125" s="7"/>
      <c r="B125" s="320">
        <v>45231</v>
      </c>
      <c r="C125" s="320">
        <v>45231</v>
      </c>
      <c r="D125" s="269">
        <v>6681</v>
      </c>
      <c r="E125" s="338" t="s">
        <v>1108</v>
      </c>
      <c r="F125" s="321" t="s">
        <v>1061</v>
      </c>
      <c r="G125" s="321" t="s">
        <v>468</v>
      </c>
      <c r="H125" s="321"/>
      <c r="I125" s="321">
        <v>1</v>
      </c>
      <c r="J125" s="270">
        <v>33</v>
      </c>
      <c r="K125" s="272">
        <v>7.04</v>
      </c>
      <c r="L125" s="263">
        <f t="shared" si="1"/>
        <v>232.32</v>
      </c>
    </row>
    <row r="126" spans="1:12" ht="15.75" x14ac:dyDescent="0.25">
      <c r="A126" s="7"/>
      <c r="B126" s="320">
        <v>45231</v>
      </c>
      <c r="C126" s="320">
        <v>45231</v>
      </c>
      <c r="D126" s="269">
        <v>6099</v>
      </c>
      <c r="E126" s="338" t="s">
        <v>1109</v>
      </c>
      <c r="F126" s="321" t="s">
        <v>1061</v>
      </c>
      <c r="G126" s="321" t="s">
        <v>468</v>
      </c>
      <c r="H126" s="321"/>
      <c r="I126" s="321">
        <v>8</v>
      </c>
      <c r="J126" s="270">
        <v>792</v>
      </c>
      <c r="K126" s="272">
        <v>19.056999999999999</v>
      </c>
      <c r="L126" s="263">
        <f t="shared" si="1"/>
        <v>15093.143999999998</v>
      </c>
    </row>
    <row r="127" spans="1:12" ht="15.75" x14ac:dyDescent="0.25">
      <c r="A127" s="7"/>
      <c r="B127" s="320">
        <v>45231</v>
      </c>
      <c r="C127" s="320">
        <v>45231</v>
      </c>
      <c r="D127" s="269">
        <v>8310</v>
      </c>
      <c r="E127" s="338" t="s">
        <v>1110</v>
      </c>
      <c r="F127" s="321" t="s">
        <v>1061</v>
      </c>
      <c r="G127" s="321" t="s">
        <v>468</v>
      </c>
      <c r="H127" s="321"/>
      <c r="I127" s="321">
        <v>0</v>
      </c>
      <c r="J127" s="270">
        <v>9</v>
      </c>
      <c r="K127" s="272">
        <v>153.53</v>
      </c>
      <c r="L127" s="263">
        <f t="shared" si="1"/>
        <v>1381.77</v>
      </c>
    </row>
    <row r="128" spans="1:12" ht="15.75" x14ac:dyDescent="0.25">
      <c r="A128" s="7"/>
      <c r="B128" s="320">
        <v>45231</v>
      </c>
      <c r="C128" s="320">
        <v>45231</v>
      </c>
      <c r="D128" s="269">
        <v>20294</v>
      </c>
      <c r="E128" s="338" t="s">
        <v>1111</v>
      </c>
      <c r="F128" s="321" t="s">
        <v>1061</v>
      </c>
      <c r="G128" s="321" t="s">
        <v>1010</v>
      </c>
      <c r="H128" s="321"/>
      <c r="I128" s="321">
        <v>0</v>
      </c>
      <c r="J128" s="270">
        <v>765</v>
      </c>
      <c r="K128" s="272">
        <v>70.8</v>
      </c>
      <c r="L128" s="263">
        <f t="shared" si="1"/>
        <v>54162</v>
      </c>
    </row>
    <row r="129" spans="1:12" ht="15.75" x14ac:dyDescent="0.25">
      <c r="A129" s="7"/>
      <c r="B129" s="320">
        <v>45231</v>
      </c>
      <c r="C129" s="320">
        <v>45231</v>
      </c>
      <c r="D129" s="269">
        <v>19130</v>
      </c>
      <c r="E129" s="338" t="s">
        <v>1112</v>
      </c>
      <c r="F129" s="321" t="s">
        <v>1061</v>
      </c>
      <c r="G129" s="321" t="s">
        <v>468</v>
      </c>
      <c r="H129" s="321"/>
      <c r="I129" s="321">
        <v>0</v>
      </c>
      <c r="J129" s="270">
        <v>210</v>
      </c>
      <c r="K129" s="272">
        <v>1200</v>
      </c>
      <c r="L129" s="263">
        <f t="shared" si="1"/>
        <v>252000</v>
      </c>
    </row>
    <row r="130" spans="1:12" ht="15.75" x14ac:dyDescent="0.25">
      <c r="A130" s="7"/>
      <c r="B130" s="320">
        <v>45231</v>
      </c>
      <c r="C130" s="320">
        <v>45231</v>
      </c>
      <c r="D130" s="269">
        <v>12196</v>
      </c>
      <c r="E130" s="338" t="s">
        <v>1113</v>
      </c>
      <c r="F130" s="321" t="s">
        <v>1061</v>
      </c>
      <c r="G130" s="321" t="s">
        <v>468</v>
      </c>
      <c r="H130" s="321"/>
      <c r="I130" s="321">
        <v>0</v>
      </c>
      <c r="J130" s="270">
        <v>1038</v>
      </c>
      <c r="K130" s="271">
        <v>36.700000000000003</v>
      </c>
      <c r="L130" s="263">
        <f t="shared" si="1"/>
        <v>38094.600000000006</v>
      </c>
    </row>
    <row r="131" spans="1:12" ht="15.75" x14ac:dyDescent="0.25">
      <c r="A131" s="7"/>
      <c r="B131" s="320">
        <v>45231</v>
      </c>
      <c r="C131" s="320">
        <v>45231</v>
      </c>
      <c r="D131" s="269">
        <v>4340</v>
      </c>
      <c r="E131" s="338" t="s">
        <v>1114</v>
      </c>
      <c r="F131" s="321" t="s">
        <v>1061</v>
      </c>
      <c r="G131" s="321" t="s">
        <v>468</v>
      </c>
      <c r="H131" s="321"/>
      <c r="I131" s="321">
        <v>0</v>
      </c>
      <c r="J131" s="270">
        <v>800</v>
      </c>
      <c r="K131" s="272">
        <v>18.053999999999998</v>
      </c>
      <c r="L131" s="263">
        <f t="shared" si="1"/>
        <v>14443.199999999999</v>
      </c>
    </row>
    <row r="132" spans="1:12" ht="15.75" x14ac:dyDescent="0.25">
      <c r="A132" s="7"/>
      <c r="B132" s="320">
        <v>44938</v>
      </c>
      <c r="C132" s="320">
        <v>44938</v>
      </c>
      <c r="D132" s="269">
        <v>3773</v>
      </c>
      <c r="E132" s="338" t="s">
        <v>1115</v>
      </c>
      <c r="F132" s="321" t="s">
        <v>1061</v>
      </c>
      <c r="G132" s="321" t="s">
        <v>468</v>
      </c>
      <c r="H132" s="321"/>
      <c r="I132" s="321">
        <v>650</v>
      </c>
      <c r="J132" s="270">
        <v>250</v>
      </c>
      <c r="K132" s="274">
        <v>50.15</v>
      </c>
      <c r="L132" s="263">
        <f t="shared" si="1"/>
        <v>12537.5</v>
      </c>
    </row>
    <row r="133" spans="1:12" ht="15.75" x14ac:dyDescent="0.25">
      <c r="A133" s="7"/>
      <c r="B133" s="320">
        <v>45231</v>
      </c>
      <c r="C133" s="320">
        <v>45231</v>
      </c>
      <c r="D133" s="269">
        <v>15207</v>
      </c>
      <c r="E133" s="338" t="s">
        <v>1116</v>
      </c>
      <c r="F133" s="321" t="s">
        <v>1061</v>
      </c>
      <c r="G133" s="321" t="s">
        <v>468</v>
      </c>
      <c r="H133" s="321"/>
      <c r="I133" s="321">
        <v>1</v>
      </c>
      <c r="J133" s="270">
        <v>7</v>
      </c>
      <c r="K133" s="272">
        <v>1416</v>
      </c>
      <c r="L133" s="263">
        <f t="shared" si="1"/>
        <v>9912</v>
      </c>
    </row>
    <row r="134" spans="1:12" ht="15.75" x14ac:dyDescent="0.25">
      <c r="A134" s="7"/>
      <c r="B134" s="320">
        <v>45231</v>
      </c>
      <c r="C134" s="320">
        <v>45231</v>
      </c>
      <c r="D134" s="269">
        <v>4549</v>
      </c>
      <c r="E134" s="338" t="s">
        <v>1117</v>
      </c>
      <c r="F134" s="321" t="s">
        <v>1061</v>
      </c>
      <c r="G134" s="321" t="s">
        <v>468</v>
      </c>
      <c r="H134" s="321"/>
      <c r="I134" s="321">
        <v>200</v>
      </c>
      <c r="J134" s="270">
        <v>151</v>
      </c>
      <c r="K134" s="272">
        <v>20.059999999999999</v>
      </c>
      <c r="L134" s="263">
        <f t="shared" si="1"/>
        <v>3029.06</v>
      </c>
    </row>
    <row r="135" spans="1:12" ht="15.75" x14ac:dyDescent="0.25">
      <c r="A135" s="7"/>
      <c r="B135" s="320">
        <v>45231</v>
      </c>
      <c r="C135" s="320">
        <v>45231</v>
      </c>
      <c r="D135" s="269">
        <v>14835</v>
      </c>
      <c r="E135" s="338" t="s">
        <v>1118</v>
      </c>
      <c r="F135" s="321" t="s">
        <v>1061</v>
      </c>
      <c r="G135" s="321" t="s">
        <v>1010</v>
      </c>
      <c r="H135" s="321"/>
      <c r="I135" s="321">
        <v>8</v>
      </c>
      <c r="J135" s="270">
        <v>76</v>
      </c>
      <c r="K135" s="272">
        <v>215</v>
      </c>
      <c r="L135" s="263">
        <f t="shared" si="1"/>
        <v>16340</v>
      </c>
    </row>
    <row r="136" spans="1:12" ht="15.75" x14ac:dyDescent="0.25">
      <c r="A136" s="7"/>
      <c r="B136" s="320">
        <v>45231</v>
      </c>
      <c r="C136" s="320">
        <v>45231</v>
      </c>
      <c r="D136" s="269">
        <v>21533</v>
      </c>
      <c r="E136" s="338" t="s">
        <v>1119</v>
      </c>
      <c r="F136" s="321" t="s">
        <v>1061</v>
      </c>
      <c r="G136" s="321" t="s">
        <v>468</v>
      </c>
      <c r="H136" s="321"/>
      <c r="I136" s="321">
        <v>8</v>
      </c>
      <c r="J136" s="270">
        <v>28</v>
      </c>
      <c r="K136" s="272">
        <f>200+36</f>
        <v>236</v>
      </c>
      <c r="L136" s="263">
        <f t="shared" si="1"/>
        <v>6608</v>
      </c>
    </row>
    <row r="137" spans="1:12" ht="15.75" x14ac:dyDescent="0.25">
      <c r="A137" s="7"/>
      <c r="B137" s="320">
        <v>45231</v>
      </c>
      <c r="C137" s="320">
        <v>45231</v>
      </c>
      <c r="D137" s="269">
        <v>3775</v>
      </c>
      <c r="E137" s="338" t="s">
        <v>1120</v>
      </c>
      <c r="F137" s="321" t="s">
        <v>1061</v>
      </c>
      <c r="G137" s="321" t="s">
        <v>468</v>
      </c>
      <c r="H137" s="321"/>
      <c r="I137" s="321">
        <v>0</v>
      </c>
      <c r="J137" s="270">
        <v>100</v>
      </c>
      <c r="K137" s="273">
        <v>20.16</v>
      </c>
      <c r="L137" s="263">
        <f t="shared" si="1"/>
        <v>2016</v>
      </c>
    </row>
    <row r="138" spans="1:12" ht="15.75" x14ac:dyDescent="0.25">
      <c r="A138" s="7"/>
      <c r="B138" s="320">
        <v>45231</v>
      </c>
      <c r="C138" s="320">
        <v>45231</v>
      </c>
      <c r="D138" s="269">
        <v>18352</v>
      </c>
      <c r="E138" s="338" t="s">
        <v>1121</v>
      </c>
      <c r="F138" s="321" t="s">
        <v>1061</v>
      </c>
      <c r="G138" s="321" t="s">
        <v>555</v>
      </c>
      <c r="H138" s="321"/>
      <c r="I138" s="321">
        <v>6</v>
      </c>
      <c r="J138" s="270">
        <v>10</v>
      </c>
      <c r="K138" s="271">
        <v>1480</v>
      </c>
      <c r="L138" s="263">
        <f t="shared" si="1"/>
        <v>14800</v>
      </c>
    </row>
    <row r="139" spans="1:12" ht="15.75" x14ac:dyDescent="0.25">
      <c r="A139" s="7"/>
      <c r="B139" s="320">
        <v>45231</v>
      </c>
      <c r="C139" s="320">
        <v>45231</v>
      </c>
      <c r="D139" s="269">
        <v>16011</v>
      </c>
      <c r="E139" s="338" t="s">
        <v>1122</v>
      </c>
      <c r="F139" s="321" t="s">
        <v>1061</v>
      </c>
      <c r="G139" s="321" t="s">
        <v>468</v>
      </c>
      <c r="H139" s="321"/>
      <c r="I139" s="321">
        <v>65</v>
      </c>
      <c r="J139" s="270">
        <v>1775</v>
      </c>
      <c r="K139" s="271">
        <f>32.9+5.92</f>
        <v>38.82</v>
      </c>
      <c r="L139" s="263">
        <f t="shared" si="1"/>
        <v>68905.5</v>
      </c>
    </row>
    <row r="140" spans="1:12" ht="15.75" x14ac:dyDescent="0.25">
      <c r="A140" s="7"/>
      <c r="B140" s="320">
        <v>45272</v>
      </c>
      <c r="C140" s="320">
        <v>45272</v>
      </c>
      <c r="D140" s="269">
        <v>7491</v>
      </c>
      <c r="E140" s="338" t="s">
        <v>1123</v>
      </c>
      <c r="F140" s="321" t="s">
        <v>1061</v>
      </c>
      <c r="G140" s="321" t="s">
        <v>468</v>
      </c>
      <c r="H140" s="321"/>
      <c r="I140" s="321">
        <v>12</v>
      </c>
      <c r="J140" s="270">
        <v>969</v>
      </c>
      <c r="K140" s="271">
        <v>18.68</v>
      </c>
      <c r="L140" s="263">
        <f t="shared" ref="L140:L203" si="2">+J140*K140</f>
        <v>18100.919999999998</v>
      </c>
    </row>
    <row r="141" spans="1:12" ht="15.75" x14ac:dyDescent="0.25">
      <c r="A141" s="7"/>
      <c r="B141" s="320">
        <v>45231</v>
      </c>
      <c r="C141" s="320">
        <v>45231</v>
      </c>
      <c r="D141" s="269">
        <v>16045</v>
      </c>
      <c r="E141" s="338" t="s">
        <v>1124</v>
      </c>
      <c r="F141" s="321" t="s">
        <v>1125</v>
      </c>
      <c r="G141" s="321" t="s">
        <v>468</v>
      </c>
      <c r="H141" s="321"/>
      <c r="I141" s="321">
        <v>0</v>
      </c>
      <c r="J141" s="270">
        <v>2109</v>
      </c>
      <c r="K141" s="272">
        <v>38</v>
      </c>
      <c r="L141" s="263">
        <f t="shared" si="2"/>
        <v>80142</v>
      </c>
    </row>
    <row r="142" spans="1:12" ht="30" x14ac:dyDescent="0.25">
      <c r="A142" s="7"/>
      <c r="B142" s="320">
        <v>45231</v>
      </c>
      <c r="C142" s="320">
        <v>45231</v>
      </c>
      <c r="D142" s="269">
        <v>19283</v>
      </c>
      <c r="E142" s="338" t="s">
        <v>1126</v>
      </c>
      <c r="F142" s="321" t="s">
        <v>1125</v>
      </c>
      <c r="G142" s="321" t="s">
        <v>468</v>
      </c>
      <c r="H142" s="321"/>
      <c r="I142" s="321">
        <v>3</v>
      </c>
      <c r="J142" s="270">
        <v>2</v>
      </c>
      <c r="K142" s="271">
        <v>40</v>
      </c>
      <c r="L142" s="263">
        <f t="shared" si="2"/>
        <v>80</v>
      </c>
    </row>
    <row r="143" spans="1:12" ht="15.75" x14ac:dyDescent="0.25">
      <c r="A143" s="7"/>
      <c r="B143" s="320">
        <v>45231</v>
      </c>
      <c r="C143" s="320">
        <v>45231</v>
      </c>
      <c r="D143" s="269">
        <v>9794</v>
      </c>
      <c r="E143" s="338" t="s">
        <v>1127</v>
      </c>
      <c r="F143" s="321" t="s">
        <v>1125</v>
      </c>
      <c r="G143" s="321" t="s">
        <v>468</v>
      </c>
      <c r="H143" s="321"/>
      <c r="I143" s="321">
        <v>600</v>
      </c>
      <c r="J143" s="270">
        <v>14300</v>
      </c>
      <c r="K143" s="273">
        <v>3.62</v>
      </c>
      <c r="L143" s="263">
        <f t="shared" si="2"/>
        <v>51766</v>
      </c>
    </row>
    <row r="144" spans="1:12" ht="30" x14ac:dyDescent="0.25">
      <c r="A144" s="7"/>
      <c r="B144" s="320">
        <v>45231</v>
      </c>
      <c r="C144" s="320">
        <v>45231</v>
      </c>
      <c r="D144" s="269">
        <v>16182</v>
      </c>
      <c r="E144" s="338" t="s">
        <v>1128</v>
      </c>
      <c r="F144" s="321" t="s">
        <v>1125</v>
      </c>
      <c r="G144" s="321" t="s">
        <v>468</v>
      </c>
      <c r="H144" s="321"/>
      <c r="I144" s="321">
        <v>15</v>
      </c>
      <c r="J144" s="270">
        <v>12</v>
      </c>
      <c r="K144" s="273">
        <v>230.2</v>
      </c>
      <c r="L144" s="263">
        <f t="shared" si="2"/>
        <v>2762.3999999999996</v>
      </c>
    </row>
    <row r="145" spans="1:12" ht="30" x14ac:dyDescent="0.25">
      <c r="A145" s="7"/>
      <c r="B145" s="320">
        <v>45231</v>
      </c>
      <c r="C145" s="320">
        <v>45231</v>
      </c>
      <c r="D145" s="269">
        <v>16145</v>
      </c>
      <c r="E145" s="338" t="s">
        <v>1129</v>
      </c>
      <c r="F145" s="321" t="s">
        <v>1125</v>
      </c>
      <c r="G145" s="321" t="s">
        <v>468</v>
      </c>
      <c r="H145" s="321"/>
      <c r="I145" s="321">
        <v>0</v>
      </c>
      <c r="J145" s="270">
        <v>57</v>
      </c>
      <c r="K145" s="272">
        <v>240</v>
      </c>
      <c r="L145" s="263">
        <f t="shared" si="2"/>
        <v>13680</v>
      </c>
    </row>
    <row r="146" spans="1:12" ht="15.75" x14ac:dyDescent="0.25">
      <c r="A146" s="7"/>
      <c r="B146" s="320">
        <v>45231</v>
      </c>
      <c r="C146" s="320">
        <v>45231</v>
      </c>
      <c r="D146" s="269">
        <v>16147</v>
      </c>
      <c r="E146" s="338" t="s">
        <v>1130</v>
      </c>
      <c r="F146" s="321" t="s">
        <v>1125</v>
      </c>
      <c r="G146" s="321" t="s">
        <v>468</v>
      </c>
      <c r="H146" s="321"/>
      <c r="I146" s="321">
        <v>0</v>
      </c>
      <c r="J146" s="270">
        <v>6</v>
      </c>
      <c r="K146" s="274">
        <v>120</v>
      </c>
      <c r="L146" s="263">
        <f t="shared" si="2"/>
        <v>720</v>
      </c>
    </row>
    <row r="147" spans="1:12" ht="15.75" x14ac:dyDescent="0.25">
      <c r="A147" s="7"/>
      <c r="B147" s="320">
        <v>45231</v>
      </c>
      <c r="C147" s="320">
        <v>45231</v>
      </c>
      <c r="D147" s="269">
        <v>16148</v>
      </c>
      <c r="E147" s="338" t="s">
        <v>1131</v>
      </c>
      <c r="F147" s="321" t="s">
        <v>1125</v>
      </c>
      <c r="G147" s="321" t="s">
        <v>468</v>
      </c>
      <c r="H147" s="321"/>
      <c r="I147" s="321">
        <v>0</v>
      </c>
      <c r="J147" s="270">
        <v>5</v>
      </c>
      <c r="K147" s="271">
        <v>240</v>
      </c>
      <c r="L147" s="263">
        <f t="shared" si="2"/>
        <v>1200</v>
      </c>
    </row>
    <row r="148" spans="1:12" ht="15.75" x14ac:dyDescent="0.25">
      <c r="A148" s="7"/>
      <c r="B148" s="320">
        <v>45231</v>
      </c>
      <c r="C148" s="320">
        <v>45231</v>
      </c>
      <c r="D148" s="269">
        <v>16271</v>
      </c>
      <c r="E148" s="338" t="s">
        <v>1132</v>
      </c>
      <c r="F148" s="321" t="s">
        <v>1125</v>
      </c>
      <c r="G148" s="321" t="s">
        <v>508</v>
      </c>
      <c r="H148" s="321"/>
      <c r="I148" s="321">
        <v>1</v>
      </c>
      <c r="J148" s="270">
        <v>95</v>
      </c>
      <c r="K148" s="271">
        <f>270+48</f>
        <v>318</v>
      </c>
      <c r="L148" s="263">
        <f t="shared" si="2"/>
        <v>30210</v>
      </c>
    </row>
    <row r="149" spans="1:12" ht="30" x14ac:dyDescent="0.25">
      <c r="A149" s="7"/>
      <c r="B149" s="320">
        <v>45231</v>
      </c>
      <c r="C149" s="320">
        <v>45231</v>
      </c>
      <c r="D149" s="269">
        <v>16259</v>
      </c>
      <c r="E149" s="338" t="s">
        <v>1133</v>
      </c>
      <c r="F149" s="321" t="s">
        <v>1125</v>
      </c>
      <c r="G149" s="321" t="s">
        <v>468</v>
      </c>
      <c r="H149" s="321"/>
      <c r="I149" s="321">
        <v>0</v>
      </c>
      <c r="J149" s="270">
        <v>8</v>
      </c>
      <c r="K149" s="272">
        <v>120</v>
      </c>
      <c r="L149" s="263">
        <f t="shared" si="2"/>
        <v>960</v>
      </c>
    </row>
    <row r="150" spans="1:12" ht="15.75" x14ac:dyDescent="0.25">
      <c r="A150" s="7"/>
      <c r="B150" s="320">
        <v>45231</v>
      </c>
      <c r="C150" s="320">
        <v>45231</v>
      </c>
      <c r="D150" s="269">
        <v>16151</v>
      </c>
      <c r="E150" s="338" t="s">
        <v>1134</v>
      </c>
      <c r="F150" s="321" t="s">
        <v>1125</v>
      </c>
      <c r="G150" s="321" t="s">
        <v>468</v>
      </c>
      <c r="H150" s="321"/>
      <c r="I150" s="321">
        <v>0</v>
      </c>
      <c r="J150" s="270">
        <v>25</v>
      </c>
      <c r="K150" s="271">
        <v>120</v>
      </c>
      <c r="L150" s="263">
        <f t="shared" si="2"/>
        <v>3000</v>
      </c>
    </row>
    <row r="151" spans="1:12" ht="15.75" x14ac:dyDescent="0.25">
      <c r="A151" s="7"/>
      <c r="B151" s="320">
        <v>45231</v>
      </c>
      <c r="C151" s="320">
        <v>45231</v>
      </c>
      <c r="D151" s="269">
        <v>16156</v>
      </c>
      <c r="E151" s="338" t="s">
        <v>1135</v>
      </c>
      <c r="F151" s="321" t="s">
        <v>1125</v>
      </c>
      <c r="G151" s="321" t="s">
        <v>468</v>
      </c>
      <c r="H151" s="321"/>
      <c r="I151" s="321">
        <v>0</v>
      </c>
      <c r="J151" s="270">
        <v>80</v>
      </c>
      <c r="K151" s="271">
        <v>123.9</v>
      </c>
      <c r="L151" s="263">
        <f t="shared" si="2"/>
        <v>9912</v>
      </c>
    </row>
    <row r="152" spans="1:12" ht="15.75" x14ac:dyDescent="0.25">
      <c r="A152" s="7"/>
      <c r="B152" s="320">
        <v>45231</v>
      </c>
      <c r="C152" s="320">
        <v>45231</v>
      </c>
      <c r="D152" s="269">
        <v>21603</v>
      </c>
      <c r="E152" s="338" t="s">
        <v>1136</v>
      </c>
      <c r="F152" s="321" t="s">
        <v>1125</v>
      </c>
      <c r="G152" s="321" t="s">
        <v>468</v>
      </c>
      <c r="H152" s="321"/>
      <c r="I152" s="321">
        <v>0</v>
      </c>
      <c r="J152" s="270">
        <v>200</v>
      </c>
      <c r="K152" s="272">
        <v>24.2</v>
      </c>
      <c r="L152" s="263">
        <f t="shared" si="2"/>
        <v>4840</v>
      </c>
    </row>
    <row r="153" spans="1:12" ht="30" x14ac:dyDescent="0.25">
      <c r="A153" s="7"/>
      <c r="B153" s="320">
        <v>45231</v>
      </c>
      <c r="C153" s="320">
        <v>45231</v>
      </c>
      <c r="D153" s="269">
        <v>13476</v>
      </c>
      <c r="E153" s="338" t="s">
        <v>1137</v>
      </c>
      <c r="F153" s="321" t="s">
        <v>1125</v>
      </c>
      <c r="G153" s="321" t="s">
        <v>468</v>
      </c>
      <c r="H153" s="321"/>
      <c r="I153" s="321">
        <v>0</v>
      </c>
      <c r="J153" s="270">
        <v>3</v>
      </c>
      <c r="K153" s="271">
        <v>120</v>
      </c>
      <c r="L153" s="263">
        <f t="shared" si="2"/>
        <v>360</v>
      </c>
    </row>
    <row r="154" spans="1:12" ht="30" x14ac:dyDescent="0.25">
      <c r="A154" s="7"/>
      <c r="B154" s="320">
        <v>45231</v>
      </c>
      <c r="C154" s="320">
        <v>45231</v>
      </c>
      <c r="D154" s="269">
        <v>12530</v>
      </c>
      <c r="E154" s="338" t="s">
        <v>1138</v>
      </c>
      <c r="F154" s="321" t="s">
        <v>1125</v>
      </c>
      <c r="G154" s="321" t="s">
        <v>468</v>
      </c>
      <c r="H154" s="321"/>
      <c r="I154" s="321">
        <v>4</v>
      </c>
      <c r="J154" s="270">
        <v>29</v>
      </c>
      <c r="K154" s="272">
        <v>180</v>
      </c>
      <c r="L154" s="263">
        <f t="shared" si="2"/>
        <v>5220</v>
      </c>
    </row>
    <row r="155" spans="1:12" ht="30" x14ac:dyDescent="0.25">
      <c r="A155" s="7"/>
      <c r="B155" s="320">
        <v>45231</v>
      </c>
      <c r="C155" s="320">
        <v>45231</v>
      </c>
      <c r="D155" s="269">
        <v>12531</v>
      </c>
      <c r="E155" s="338" t="s">
        <v>1139</v>
      </c>
      <c r="F155" s="321" t="s">
        <v>1125</v>
      </c>
      <c r="G155" s="321" t="s">
        <v>468</v>
      </c>
      <c r="H155" s="321"/>
      <c r="I155" s="321">
        <v>0</v>
      </c>
      <c r="J155" s="270">
        <v>4</v>
      </c>
      <c r="K155" s="271">
        <v>240</v>
      </c>
      <c r="L155" s="263">
        <f t="shared" si="2"/>
        <v>960</v>
      </c>
    </row>
    <row r="156" spans="1:12" ht="30" x14ac:dyDescent="0.25">
      <c r="A156" s="7"/>
      <c r="B156" s="320">
        <v>45231</v>
      </c>
      <c r="C156" s="320">
        <v>45231</v>
      </c>
      <c r="D156" s="269">
        <v>10589</v>
      </c>
      <c r="E156" s="338" t="s">
        <v>1140</v>
      </c>
      <c r="F156" s="321" t="s">
        <v>1125</v>
      </c>
      <c r="G156" s="321" t="s">
        <v>468</v>
      </c>
      <c r="H156" s="321"/>
      <c r="I156" s="321">
        <v>0</v>
      </c>
      <c r="J156" s="270">
        <v>10</v>
      </c>
      <c r="K156" s="271">
        <v>283.2</v>
      </c>
      <c r="L156" s="263">
        <f t="shared" si="2"/>
        <v>2832</v>
      </c>
    </row>
    <row r="157" spans="1:12" ht="30" x14ac:dyDescent="0.25">
      <c r="A157" s="7"/>
      <c r="B157" s="320">
        <v>45231</v>
      </c>
      <c r="C157" s="320">
        <v>45231</v>
      </c>
      <c r="D157" s="269">
        <v>10604</v>
      </c>
      <c r="E157" s="338" t="s">
        <v>1141</v>
      </c>
      <c r="F157" s="321" t="s">
        <v>1125</v>
      </c>
      <c r="G157" s="321" t="s">
        <v>468</v>
      </c>
      <c r="H157" s="321"/>
      <c r="I157" s="321">
        <v>0</v>
      </c>
      <c r="J157" s="270">
        <v>69</v>
      </c>
      <c r="K157" s="272">
        <v>240</v>
      </c>
      <c r="L157" s="263">
        <f t="shared" si="2"/>
        <v>16560</v>
      </c>
    </row>
    <row r="158" spans="1:12" ht="30" x14ac:dyDescent="0.25">
      <c r="A158" s="7"/>
      <c r="B158" s="320">
        <v>45231</v>
      </c>
      <c r="C158" s="320">
        <v>45231</v>
      </c>
      <c r="D158" s="269">
        <v>21597</v>
      </c>
      <c r="E158" s="338" t="s">
        <v>1142</v>
      </c>
      <c r="F158" s="321" t="s">
        <v>1125</v>
      </c>
      <c r="G158" s="321" t="s">
        <v>468</v>
      </c>
      <c r="H158" s="321"/>
      <c r="I158" s="321">
        <v>0</v>
      </c>
      <c r="J158" s="270">
        <v>73</v>
      </c>
      <c r="K158" s="272">
        <v>180</v>
      </c>
      <c r="L158" s="263">
        <f t="shared" si="2"/>
        <v>13140</v>
      </c>
    </row>
    <row r="159" spans="1:12" ht="60" x14ac:dyDescent="0.25">
      <c r="A159" s="7"/>
      <c r="B159" s="320">
        <v>45231</v>
      </c>
      <c r="C159" s="320">
        <v>45231</v>
      </c>
      <c r="D159" s="269">
        <v>11425</v>
      </c>
      <c r="E159" s="338" t="s">
        <v>1143</v>
      </c>
      <c r="F159" s="321" t="s">
        <v>1125</v>
      </c>
      <c r="G159" s="321" t="s">
        <v>468</v>
      </c>
      <c r="H159" s="321"/>
      <c r="I159" s="321">
        <v>0</v>
      </c>
      <c r="J159" s="270">
        <v>57</v>
      </c>
      <c r="K159" s="271">
        <v>224.2</v>
      </c>
      <c r="L159" s="263">
        <f t="shared" si="2"/>
        <v>12779.4</v>
      </c>
    </row>
    <row r="160" spans="1:12" ht="75" x14ac:dyDescent="0.25">
      <c r="A160" s="7"/>
      <c r="B160" s="320">
        <v>45231</v>
      </c>
      <c r="C160" s="320">
        <v>45231</v>
      </c>
      <c r="D160" s="269">
        <v>10582</v>
      </c>
      <c r="E160" s="338" t="s">
        <v>1144</v>
      </c>
      <c r="F160" s="321" t="s">
        <v>1125</v>
      </c>
      <c r="G160" s="321" t="s">
        <v>468</v>
      </c>
      <c r="H160" s="321"/>
      <c r="I160" s="321">
        <v>0</v>
      </c>
      <c r="J160" s="270">
        <v>32</v>
      </c>
      <c r="K160" s="274">
        <v>240</v>
      </c>
      <c r="L160" s="263">
        <f t="shared" si="2"/>
        <v>7680</v>
      </c>
    </row>
    <row r="161" spans="1:12" ht="30" x14ac:dyDescent="0.25">
      <c r="A161" s="7"/>
      <c r="B161" s="320">
        <v>45231</v>
      </c>
      <c r="C161" s="320">
        <v>45231</v>
      </c>
      <c r="D161" s="269">
        <v>10583</v>
      </c>
      <c r="E161" s="338" t="s">
        <v>1145</v>
      </c>
      <c r="F161" s="321" t="s">
        <v>1125</v>
      </c>
      <c r="G161" s="321" t="s">
        <v>468</v>
      </c>
      <c r="H161" s="321"/>
      <c r="I161" s="321">
        <v>0</v>
      </c>
      <c r="J161" s="270">
        <v>1</v>
      </c>
      <c r="K161" s="272">
        <v>240</v>
      </c>
      <c r="L161" s="263">
        <f t="shared" si="2"/>
        <v>240</v>
      </c>
    </row>
    <row r="162" spans="1:12" ht="45" x14ac:dyDescent="0.25">
      <c r="A162" s="7"/>
      <c r="B162" s="320">
        <v>45231</v>
      </c>
      <c r="C162" s="320">
        <v>45231</v>
      </c>
      <c r="D162" s="269">
        <v>10592</v>
      </c>
      <c r="E162" s="338" t="s">
        <v>1146</v>
      </c>
      <c r="F162" s="321" t="s">
        <v>1125</v>
      </c>
      <c r="G162" s="321" t="s">
        <v>468</v>
      </c>
      <c r="H162" s="321"/>
      <c r="I162" s="321">
        <v>0</v>
      </c>
      <c r="J162" s="270">
        <v>7</v>
      </c>
      <c r="K162" s="272">
        <v>240</v>
      </c>
      <c r="L162" s="263">
        <f t="shared" si="2"/>
        <v>1680</v>
      </c>
    </row>
    <row r="163" spans="1:12" ht="30" x14ac:dyDescent="0.25">
      <c r="A163" s="7"/>
      <c r="B163" s="320">
        <v>45231</v>
      </c>
      <c r="C163" s="320">
        <v>45231</v>
      </c>
      <c r="D163" s="269">
        <v>10256</v>
      </c>
      <c r="E163" s="338" t="s">
        <v>1147</v>
      </c>
      <c r="F163" s="321" t="s">
        <v>1125</v>
      </c>
      <c r="G163" s="321" t="s">
        <v>468</v>
      </c>
      <c r="H163" s="321"/>
      <c r="I163" s="321">
        <v>0</v>
      </c>
      <c r="J163" s="270">
        <v>5</v>
      </c>
      <c r="K163" s="272">
        <v>240</v>
      </c>
      <c r="L163" s="263">
        <f t="shared" si="2"/>
        <v>1200</v>
      </c>
    </row>
    <row r="164" spans="1:12" ht="45" x14ac:dyDescent="0.25">
      <c r="A164" s="7"/>
      <c r="B164" s="320">
        <v>45231</v>
      </c>
      <c r="C164" s="320">
        <v>45231</v>
      </c>
      <c r="D164" s="269">
        <v>21598</v>
      </c>
      <c r="E164" s="338" t="s">
        <v>1148</v>
      </c>
      <c r="F164" s="321" t="s">
        <v>1125</v>
      </c>
      <c r="G164" s="321" t="s">
        <v>468</v>
      </c>
      <c r="H164" s="321"/>
      <c r="I164" s="321">
        <v>0</v>
      </c>
      <c r="J164" s="270">
        <v>10</v>
      </c>
      <c r="K164" s="271">
        <v>180</v>
      </c>
      <c r="L164" s="263">
        <f t="shared" si="2"/>
        <v>1800</v>
      </c>
    </row>
    <row r="165" spans="1:12" ht="30" x14ac:dyDescent="0.25">
      <c r="A165" s="7"/>
      <c r="B165" s="320">
        <v>45231</v>
      </c>
      <c r="C165" s="320">
        <v>45231</v>
      </c>
      <c r="D165" s="269">
        <v>16600</v>
      </c>
      <c r="E165" s="338" t="s">
        <v>1149</v>
      </c>
      <c r="F165" s="321" t="s">
        <v>1125</v>
      </c>
      <c r="G165" s="321" t="s">
        <v>468</v>
      </c>
      <c r="H165" s="321"/>
      <c r="I165" s="321">
        <v>0</v>
      </c>
      <c r="J165" s="270">
        <v>16</v>
      </c>
      <c r="K165" s="272">
        <v>220</v>
      </c>
      <c r="L165" s="263">
        <f t="shared" si="2"/>
        <v>3520</v>
      </c>
    </row>
    <row r="166" spans="1:12" ht="30" x14ac:dyDescent="0.25">
      <c r="A166" s="7"/>
      <c r="B166" s="320">
        <v>45231</v>
      </c>
      <c r="C166" s="320">
        <v>45231</v>
      </c>
      <c r="D166" s="269">
        <v>12361</v>
      </c>
      <c r="E166" s="338" t="s">
        <v>1150</v>
      </c>
      <c r="F166" s="321" t="s">
        <v>1125</v>
      </c>
      <c r="G166" s="321" t="s">
        <v>468</v>
      </c>
      <c r="H166" s="321"/>
      <c r="I166" s="321">
        <v>0</v>
      </c>
      <c r="J166" s="270">
        <v>26</v>
      </c>
      <c r="K166" s="271">
        <v>220</v>
      </c>
      <c r="L166" s="263">
        <f t="shared" si="2"/>
        <v>5720</v>
      </c>
    </row>
    <row r="167" spans="1:12" ht="30" x14ac:dyDescent="0.25">
      <c r="A167" s="7"/>
      <c r="B167" s="320">
        <v>45231</v>
      </c>
      <c r="C167" s="320">
        <v>45231</v>
      </c>
      <c r="D167" s="269">
        <v>12813</v>
      </c>
      <c r="E167" s="338" t="s">
        <v>1151</v>
      </c>
      <c r="F167" s="321" t="s">
        <v>1125</v>
      </c>
      <c r="G167" s="321" t="s">
        <v>468</v>
      </c>
      <c r="H167" s="321"/>
      <c r="I167" s="321">
        <v>0</v>
      </c>
      <c r="J167" s="270">
        <v>20</v>
      </c>
      <c r="K167" s="271">
        <v>230</v>
      </c>
      <c r="L167" s="263">
        <f t="shared" si="2"/>
        <v>4600</v>
      </c>
    </row>
    <row r="168" spans="1:12" ht="24.75" customHeight="1" x14ac:dyDescent="0.25">
      <c r="A168" s="7"/>
      <c r="B168" s="320">
        <v>45231</v>
      </c>
      <c r="C168" s="320">
        <v>45231</v>
      </c>
      <c r="D168" s="269">
        <v>13657</v>
      </c>
      <c r="E168" s="338" t="s">
        <v>1152</v>
      </c>
      <c r="F168" s="321" t="s">
        <v>1125</v>
      </c>
      <c r="G168" s="321" t="s">
        <v>468</v>
      </c>
      <c r="H168" s="321"/>
      <c r="I168" s="321">
        <v>0</v>
      </c>
      <c r="J168" s="270">
        <v>5</v>
      </c>
      <c r="K168" s="271">
        <v>120</v>
      </c>
      <c r="L168" s="263">
        <f t="shared" si="2"/>
        <v>600</v>
      </c>
    </row>
    <row r="169" spans="1:12" ht="30" x14ac:dyDescent="0.25">
      <c r="A169" s="7"/>
      <c r="B169" s="320">
        <v>45231</v>
      </c>
      <c r="C169" s="320">
        <v>45231</v>
      </c>
      <c r="D169" s="269">
        <v>21596</v>
      </c>
      <c r="E169" s="338" t="s">
        <v>1153</v>
      </c>
      <c r="F169" s="321" t="s">
        <v>1125</v>
      </c>
      <c r="G169" s="321" t="s">
        <v>468</v>
      </c>
      <c r="H169" s="321"/>
      <c r="I169" s="321">
        <v>0</v>
      </c>
      <c r="J169" s="270">
        <v>55</v>
      </c>
      <c r="K169" s="272">
        <v>275</v>
      </c>
      <c r="L169" s="263">
        <f t="shared" si="2"/>
        <v>15125</v>
      </c>
    </row>
    <row r="170" spans="1:12" ht="30" x14ac:dyDescent="0.25">
      <c r="A170" s="7"/>
      <c r="B170" s="320">
        <v>45231</v>
      </c>
      <c r="C170" s="320">
        <v>45231</v>
      </c>
      <c r="D170" s="269">
        <v>15804</v>
      </c>
      <c r="E170" s="338" t="s">
        <v>1154</v>
      </c>
      <c r="F170" s="321" t="s">
        <v>1125</v>
      </c>
      <c r="G170" s="321" t="s">
        <v>468</v>
      </c>
      <c r="H170" s="321"/>
      <c r="I170" s="321">
        <v>12</v>
      </c>
      <c r="J170" s="270">
        <v>1</v>
      </c>
      <c r="K170" s="272">
        <v>120</v>
      </c>
      <c r="L170" s="263">
        <f t="shared" si="2"/>
        <v>120</v>
      </c>
    </row>
    <row r="171" spans="1:12" ht="15.75" x14ac:dyDescent="0.25">
      <c r="A171" s="7"/>
      <c r="B171" s="320">
        <v>45231</v>
      </c>
      <c r="C171" s="320">
        <v>45231</v>
      </c>
      <c r="D171" s="269">
        <v>16601</v>
      </c>
      <c r="E171" s="338" t="s">
        <v>1155</v>
      </c>
      <c r="F171" s="321" t="s">
        <v>1125</v>
      </c>
      <c r="G171" s="321" t="s">
        <v>468</v>
      </c>
      <c r="H171" s="321"/>
      <c r="I171" s="321">
        <v>0</v>
      </c>
      <c r="J171" s="270">
        <v>2</v>
      </c>
      <c r="K171" s="271">
        <v>120</v>
      </c>
      <c r="L171" s="263">
        <f t="shared" si="2"/>
        <v>240</v>
      </c>
    </row>
    <row r="172" spans="1:12" ht="30" x14ac:dyDescent="0.25">
      <c r="A172" s="7"/>
      <c r="B172" s="320">
        <v>45231</v>
      </c>
      <c r="C172" s="320">
        <v>45231</v>
      </c>
      <c r="D172" s="269">
        <v>18378</v>
      </c>
      <c r="E172" s="338" t="s">
        <v>1156</v>
      </c>
      <c r="F172" s="321" t="s">
        <v>1125</v>
      </c>
      <c r="G172" s="321" t="s">
        <v>468</v>
      </c>
      <c r="H172" s="321"/>
      <c r="I172" s="321">
        <v>0</v>
      </c>
      <c r="J172" s="270">
        <v>10</v>
      </c>
      <c r="K172" s="271">
        <v>120</v>
      </c>
      <c r="L172" s="263">
        <f t="shared" si="2"/>
        <v>1200</v>
      </c>
    </row>
    <row r="173" spans="1:12" ht="15.75" x14ac:dyDescent="0.25">
      <c r="A173" s="7"/>
      <c r="B173" s="320">
        <v>45231</v>
      </c>
      <c r="C173" s="320">
        <v>45231</v>
      </c>
      <c r="D173" s="269">
        <v>16536</v>
      </c>
      <c r="E173" s="338" t="s">
        <v>1157</v>
      </c>
      <c r="F173" s="321" t="s">
        <v>1125</v>
      </c>
      <c r="G173" s="321" t="s">
        <v>468</v>
      </c>
      <c r="H173" s="321"/>
      <c r="I173" s="321">
        <v>0</v>
      </c>
      <c r="J173" s="270">
        <v>19</v>
      </c>
      <c r="K173" s="272">
        <v>120</v>
      </c>
      <c r="L173" s="263">
        <f t="shared" si="2"/>
        <v>2280</v>
      </c>
    </row>
    <row r="174" spans="1:12" ht="30" x14ac:dyDescent="0.25">
      <c r="A174" s="7"/>
      <c r="B174" s="320">
        <v>45231</v>
      </c>
      <c r="C174" s="320">
        <v>45231</v>
      </c>
      <c r="D174" s="269">
        <v>18681</v>
      </c>
      <c r="E174" s="338" t="s">
        <v>1158</v>
      </c>
      <c r="F174" s="321" t="s">
        <v>1125</v>
      </c>
      <c r="G174" s="321" t="s">
        <v>468</v>
      </c>
      <c r="H174" s="321"/>
      <c r="I174" s="321">
        <v>5</v>
      </c>
      <c r="J174" s="270">
        <v>65</v>
      </c>
      <c r="K174" s="272">
        <v>180</v>
      </c>
      <c r="L174" s="263">
        <f t="shared" si="2"/>
        <v>11700</v>
      </c>
    </row>
    <row r="175" spans="1:12" ht="30" x14ac:dyDescent="0.25">
      <c r="A175" s="7"/>
      <c r="B175" s="320">
        <v>45231</v>
      </c>
      <c r="C175" s="320">
        <v>45231</v>
      </c>
      <c r="D175" s="269">
        <v>7613</v>
      </c>
      <c r="E175" s="338" t="s">
        <v>1159</v>
      </c>
      <c r="F175" s="321" t="s">
        <v>1125</v>
      </c>
      <c r="G175" s="321" t="s">
        <v>468</v>
      </c>
      <c r="H175" s="321"/>
      <c r="I175" s="321">
        <v>0</v>
      </c>
      <c r="J175" s="270">
        <v>112</v>
      </c>
      <c r="K175" s="271">
        <v>180</v>
      </c>
      <c r="L175" s="263">
        <f t="shared" si="2"/>
        <v>20160</v>
      </c>
    </row>
    <row r="176" spans="1:12" ht="30" x14ac:dyDescent="0.25">
      <c r="A176" s="7"/>
      <c r="B176" s="320">
        <v>45231</v>
      </c>
      <c r="C176" s="320">
        <v>45231</v>
      </c>
      <c r="D176" s="269">
        <v>7615</v>
      </c>
      <c r="E176" s="338" t="s">
        <v>1160</v>
      </c>
      <c r="F176" s="321" t="s">
        <v>1125</v>
      </c>
      <c r="G176" s="321" t="s">
        <v>468</v>
      </c>
      <c r="H176" s="321"/>
      <c r="I176" s="321">
        <v>1</v>
      </c>
      <c r="J176" s="270">
        <v>45</v>
      </c>
      <c r="K176" s="271">
        <v>180</v>
      </c>
      <c r="L176" s="263">
        <f t="shared" si="2"/>
        <v>8100</v>
      </c>
    </row>
    <row r="177" spans="1:12" ht="30" x14ac:dyDescent="0.25">
      <c r="A177" s="7"/>
      <c r="B177" s="320">
        <v>45231</v>
      </c>
      <c r="C177" s="320">
        <v>45231</v>
      </c>
      <c r="D177" s="269">
        <v>7955</v>
      </c>
      <c r="E177" s="338" t="s">
        <v>1161</v>
      </c>
      <c r="F177" s="321" t="s">
        <v>1125</v>
      </c>
      <c r="G177" s="321" t="s">
        <v>468</v>
      </c>
      <c r="H177" s="321"/>
      <c r="I177" s="321">
        <v>0</v>
      </c>
      <c r="J177" s="270">
        <v>42</v>
      </c>
      <c r="K177" s="271">
        <v>180</v>
      </c>
      <c r="L177" s="263">
        <f t="shared" si="2"/>
        <v>7560</v>
      </c>
    </row>
    <row r="178" spans="1:12" ht="17.25" customHeight="1" x14ac:dyDescent="0.25">
      <c r="A178" s="7"/>
      <c r="B178" s="320">
        <v>45231</v>
      </c>
      <c r="C178" s="320">
        <v>45231</v>
      </c>
      <c r="D178" s="269">
        <v>7957</v>
      </c>
      <c r="E178" s="338" t="s">
        <v>1162</v>
      </c>
      <c r="F178" s="321" t="s">
        <v>1125</v>
      </c>
      <c r="G178" s="321" t="s">
        <v>468</v>
      </c>
      <c r="H178" s="321"/>
      <c r="I178" s="321">
        <v>0</v>
      </c>
      <c r="J178" s="270">
        <v>65</v>
      </c>
      <c r="K178" s="272">
        <v>180</v>
      </c>
      <c r="L178" s="263">
        <f t="shared" si="2"/>
        <v>11700</v>
      </c>
    </row>
    <row r="179" spans="1:12" ht="30" x14ac:dyDescent="0.25">
      <c r="A179" s="7"/>
      <c r="B179" s="320">
        <v>45231</v>
      </c>
      <c r="C179" s="320">
        <v>45231</v>
      </c>
      <c r="D179" s="269">
        <v>7956</v>
      </c>
      <c r="E179" s="338" t="s">
        <v>1163</v>
      </c>
      <c r="F179" s="321" t="s">
        <v>1125</v>
      </c>
      <c r="G179" s="321" t="s">
        <v>468</v>
      </c>
      <c r="H179" s="321"/>
      <c r="I179" s="321">
        <v>0</v>
      </c>
      <c r="J179" s="270">
        <v>55</v>
      </c>
      <c r="K179" s="271">
        <v>180</v>
      </c>
      <c r="L179" s="263">
        <f t="shared" si="2"/>
        <v>9900</v>
      </c>
    </row>
    <row r="180" spans="1:12" ht="30" x14ac:dyDescent="0.25">
      <c r="A180" s="7"/>
      <c r="B180" s="320">
        <v>45231</v>
      </c>
      <c r="C180" s="320">
        <v>45231</v>
      </c>
      <c r="D180" s="269">
        <v>7958</v>
      </c>
      <c r="E180" s="338" t="s">
        <v>1164</v>
      </c>
      <c r="F180" s="321" t="s">
        <v>1125</v>
      </c>
      <c r="G180" s="321" t="s">
        <v>468</v>
      </c>
      <c r="H180" s="321"/>
      <c r="I180" s="321">
        <v>0</v>
      </c>
      <c r="J180" s="270">
        <v>25</v>
      </c>
      <c r="K180" s="271">
        <v>180</v>
      </c>
      <c r="L180" s="263">
        <f t="shared" si="2"/>
        <v>4500</v>
      </c>
    </row>
    <row r="181" spans="1:12" ht="30" x14ac:dyDescent="0.25">
      <c r="A181" s="7"/>
      <c r="B181" s="320">
        <v>45231</v>
      </c>
      <c r="C181" s="320">
        <v>45231</v>
      </c>
      <c r="D181" s="269">
        <v>7953</v>
      </c>
      <c r="E181" s="338" t="s">
        <v>1165</v>
      </c>
      <c r="F181" s="321" t="s">
        <v>1125</v>
      </c>
      <c r="G181" s="321" t="s">
        <v>468</v>
      </c>
      <c r="H181" s="321"/>
      <c r="I181" s="321">
        <v>0</v>
      </c>
      <c r="J181" s="270">
        <v>24</v>
      </c>
      <c r="K181" s="272">
        <v>180</v>
      </c>
      <c r="L181" s="263">
        <f t="shared" si="2"/>
        <v>4320</v>
      </c>
    </row>
    <row r="182" spans="1:12" ht="18.75" customHeight="1" x14ac:dyDescent="0.25">
      <c r="A182" s="7"/>
      <c r="B182" s="320">
        <v>45231</v>
      </c>
      <c r="C182" s="320">
        <v>45231</v>
      </c>
      <c r="D182" s="269">
        <v>16179</v>
      </c>
      <c r="E182" s="338" t="s">
        <v>1166</v>
      </c>
      <c r="F182" s="321" t="s">
        <v>1125</v>
      </c>
      <c r="G182" s="321" t="s">
        <v>468</v>
      </c>
      <c r="H182" s="321"/>
      <c r="I182" s="321">
        <v>0</v>
      </c>
      <c r="J182" s="270">
        <v>7</v>
      </c>
      <c r="K182" s="271">
        <v>180</v>
      </c>
      <c r="L182" s="263">
        <f t="shared" si="2"/>
        <v>1260</v>
      </c>
    </row>
    <row r="183" spans="1:12" ht="30" x14ac:dyDescent="0.25">
      <c r="A183" s="7"/>
      <c r="B183" s="320">
        <v>45231</v>
      </c>
      <c r="C183" s="320">
        <v>45231</v>
      </c>
      <c r="D183" s="269">
        <v>16284</v>
      </c>
      <c r="E183" s="338" t="s">
        <v>1167</v>
      </c>
      <c r="F183" s="321" t="s">
        <v>1125</v>
      </c>
      <c r="G183" s="321" t="s">
        <v>468</v>
      </c>
      <c r="H183" s="321"/>
      <c r="I183" s="321">
        <v>0</v>
      </c>
      <c r="J183" s="270">
        <v>100</v>
      </c>
      <c r="K183" s="272">
        <v>215</v>
      </c>
      <c r="L183" s="263">
        <f t="shared" si="2"/>
        <v>21500</v>
      </c>
    </row>
    <row r="184" spans="1:12" ht="15.75" x14ac:dyDescent="0.25">
      <c r="A184" s="7"/>
      <c r="B184" s="320">
        <v>45231</v>
      </c>
      <c r="C184" s="320">
        <v>45231</v>
      </c>
      <c r="D184" s="269">
        <v>18521</v>
      </c>
      <c r="E184" s="338" t="s">
        <v>1168</v>
      </c>
      <c r="F184" s="321" t="s">
        <v>1125</v>
      </c>
      <c r="G184" s="321" t="s">
        <v>468</v>
      </c>
      <c r="H184" s="321"/>
      <c r="I184" s="321">
        <v>0</v>
      </c>
      <c r="J184" s="270">
        <v>70</v>
      </c>
      <c r="K184" s="272">
        <v>125</v>
      </c>
      <c r="L184" s="263">
        <f t="shared" si="2"/>
        <v>8750</v>
      </c>
    </row>
    <row r="185" spans="1:12" ht="15.75" x14ac:dyDescent="0.25">
      <c r="A185" s="7"/>
      <c r="B185" s="320">
        <v>45231</v>
      </c>
      <c r="C185" s="320">
        <v>45231</v>
      </c>
      <c r="D185" s="269">
        <v>9948</v>
      </c>
      <c r="E185" s="338" t="s">
        <v>1169</v>
      </c>
      <c r="F185" s="321" t="s">
        <v>1125</v>
      </c>
      <c r="G185" s="321" t="s">
        <v>468</v>
      </c>
      <c r="H185" s="321"/>
      <c r="I185" s="321">
        <v>0</v>
      </c>
      <c r="J185" s="270">
        <v>28</v>
      </c>
      <c r="K185" s="271">
        <v>115</v>
      </c>
      <c r="L185" s="263">
        <f t="shared" si="2"/>
        <v>3220</v>
      </c>
    </row>
    <row r="186" spans="1:12" ht="35.25" customHeight="1" x14ac:dyDescent="0.25">
      <c r="A186" s="7"/>
      <c r="B186" s="320">
        <v>45231</v>
      </c>
      <c r="C186" s="320">
        <v>45231</v>
      </c>
      <c r="D186" s="269">
        <v>16194</v>
      </c>
      <c r="E186" s="338" t="s">
        <v>1170</v>
      </c>
      <c r="F186" s="321" t="s">
        <v>1125</v>
      </c>
      <c r="G186" s="321" t="s">
        <v>468</v>
      </c>
      <c r="H186" s="321"/>
      <c r="I186" s="321">
        <v>3</v>
      </c>
      <c r="J186" s="270">
        <v>3</v>
      </c>
      <c r="K186" s="274">
        <v>120</v>
      </c>
      <c r="L186" s="263">
        <f t="shared" si="2"/>
        <v>360</v>
      </c>
    </row>
    <row r="187" spans="1:12" ht="15.75" x14ac:dyDescent="0.25">
      <c r="A187" s="7"/>
      <c r="B187" s="320">
        <v>45231</v>
      </c>
      <c r="C187" s="320">
        <v>45231</v>
      </c>
      <c r="D187" s="269">
        <v>16193</v>
      </c>
      <c r="E187" s="338" t="s">
        <v>1171</v>
      </c>
      <c r="F187" s="321" t="s">
        <v>1125</v>
      </c>
      <c r="G187" s="321" t="s">
        <v>468</v>
      </c>
      <c r="H187" s="321"/>
      <c r="I187" s="321">
        <v>0</v>
      </c>
      <c r="J187" s="270">
        <v>124</v>
      </c>
      <c r="K187" s="271">
        <v>120</v>
      </c>
      <c r="L187" s="263">
        <f t="shared" si="2"/>
        <v>14880</v>
      </c>
    </row>
    <row r="188" spans="1:12" ht="15.75" x14ac:dyDescent="0.25">
      <c r="A188" s="7"/>
      <c r="B188" s="320">
        <v>45231</v>
      </c>
      <c r="C188" s="320">
        <v>45231</v>
      </c>
      <c r="D188" s="269">
        <v>16190</v>
      </c>
      <c r="E188" s="338" t="s">
        <v>1172</v>
      </c>
      <c r="F188" s="321" t="s">
        <v>1125</v>
      </c>
      <c r="G188" s="321" t="s">
        <v>468</v>
      </c>
      <c r="H188" s="321"/>
      <c r="I188" s="321">
        <v>0</v>
      </c>
      <c r="J188" s="270">
        <v>64</v>
      </c>
      <c r="K188" s="272">
        <v>180</v>
      </c>
      <c r="L188" s="263">
        <f t="shared" si="2"/>
        <v>11520</v>
      </c>
    </row>
    <row r="189" spans="1:12" ht="15.75" x14ac:dyDescent="0.25">
      <c r="A189" s="7"/>
      <c r="B189" s="320">
        <v>45231</v>
      </c>
      <c r="C189" s="320">
        <v>45231</v>
      </c>
      <c r="D189" s="269">
        <v>16229</v>
      </c>
      <c r="E189" s="338" t="s">
        <v>1173</v>
      </c>
      <c r="F189" s="321" t="s">
        <v>1125</v>
      </c>
      <c r="G189" s="321" t="s">
        <v>468</v>
      </c>
      <c r="H189" s="321"/>
      <c r="I189" s="321">
        <v>0</v>
      </c>
      <c r="J189" s="270">
        <v>2</v>
      </c>
      <c r="K189" s="272">
        <v>40</v>
      </c>
      <c r="L189" s="263">
        <f t="shared" si="2"/>
        <v>80</v>
      </c>
    </row>
    <row r="190" spans="1:12" ht="15.75" x14ac:dyDescent="0.25">
      <c r="A190" s="7"/>
      <c r="B190" s="320">
        <v>45231</v>
      </c>
      <c r="C190" s="320">
        <v>45231</v>
      </c>
      <c r="D190" s="269">
        <v>16197</v>
      </c>
      <c r="E190" s="338" t="s">
        <v>1174</v>
      </c>
      <c r="F190" s="321" t="s">
        <v>1125</v>
      </c>
      <c r="G190" s="321" t="s">
        <v>468</v>
      </c>
      <c r="H190" s="321"/>
      <c r="I190" s="321">
        <v>3</v>
      </c>
      <c r="J190" s="270">
        <v>267</v>
      </c>
      <c r="K190" s="271">
        <f>257+46.26</f>
        <v>303.26</v>
      </c>
      <c r="L190" s="263">
        <f t="shared" si="2"/>
        <v>80970.42</v>
      </c>
    </row>
    <row r="191" spans="1:12" ht="72" customHeight="1" x14ac:dyDescent="0.25">
      <c r="A191" s="7"/>
      <c r="B191" s="320">
        <v>45231</v>
      </c>
      <c r="C191" s="320">
        <v>45231</v>
      </c>
      <c r="D191" s="269">
        <v>9949</v>
      </c>
      <c r="E191" s="338" t="s">
        <v>1175</v>
      </c>
      <c r="F191" s="321" t="s">
        <v>1125</v>
      </c>
      <c r="G191" s="321" t="s">
        <v>468</v>
      </c>
      <c r="H191" s="321"/>
      <c r="I191" s="321">
        <v>0</v>
      </c>
      <c r="J191" s="270">
        <v>3</v>
      </c>
      <c r="K191" s="271">
        <v>280</v>
      </c>
      <c r="L191" s="263">
        <f t="shared" si="2"/>
        <v>840</v>
      </c>
    </row>
    <row r="192" spans="1:12" ht="75.75" customHeight="1" x14ac:dyDescent="0.25">
      <c r="A192" s="7"/>
      <c r="B192" s="320">
        <v>45231</v>
      </c>
      <c r="C192" s="320">
        <v>45231</v>
      </c>
      <c r="D192" s="269">
        <v>20998</v>
      </c>
      <c r="E192" s="338" t="s">
        <v>1176</v>
      </c>
      <c r="F192" s="321" t="s">
        <v>1125</v>
      </c>
      <c r="G192" s="321" t="s">
        <v>468</v>
      </c>
      <c r="H192" s="321"/>
      <c r="I192" s="321">
        <v>0</v>
      </c>
      <c r="J192" s="270">
        <v>121</v>
      </c>
      <c r="K192" s="271">
        <f>67+12.06</f>
        <v>79.06</v>
      </c>
      <c r="L192" s="263">
        <f t="shared" si="2"/>
        <v>9566.26</v>
      </c>
    </row>
    <row r="193" spans="1:12" ht="30" x14ac:dyDescent="0.25">
      <c r="A193" s="7"/>
      <c r="B193" s="320">
        <v>45231</v>
      </c>
      <c r="C193" s="320">
        <v>45231</v>
      </c>
      <c r="D193" s="269">
        <v>16199</v>
      </c>
      <c r="E193" s="338" t="s">
        <v>1177</v>
      </c>
      <c r="F193" s="321" t="s">
        <v>1125</v>
      </c>
      <c r="G193" s="321" t="s">
        <v>468</v>
      </c>
      <c r="H193" s="321"/>
      <c r="I193" s="321">
        <v>0</v>
      </c>
      <c r="J193" s="270">
        <v>42</v>
      </c>
      <c r="K193" s="271">
        <v>147.5</v>
      </c>
      <c r="L193" s="263">
        <f t="shared" si="2"/>
        <v>6195</v>
      </c>
    </row>
    <row r="194" spans="1:12" ht="48.75" customHeight="1" x14ac:dyDescent="0.25">
      <c r="A194" s="7"/>
      <c r="B194" s="320">
        <v>45231</v>
      </c>
      <c r="C194" s="320">
        <v>45231</v>
      </c>
      <c r="D194" s="269">
        <v>16198</v>
      </c>
      <c r="E194" s="338" t="s">
        <v>1178</v>
      </c>
      <c r="F194" s="321" t="s">
        <v>1125</v>
      </c>
      <c r="G194" s="321" t="s">
        <v>468</v>
      </c>
      <c r="H194" s="321"/>
      <c r="I194" s="321">
        <v>0</v>
      </c>
      <c r="J194" s="270">
        <v>4</v>
      </c>
      <c r="K194" s="271">
        <v>180</v>
      </c>
      <c r="L194" s="263">
        <f t="shared" si="2"/>
        <v>720</v>
      </c>
    </row>
    <row r="195" spans="1:12" ht="54.75" customHeight="1" x14ac:dyDescent="0.25">
      <c r="A195" s="7"/>
      <c r="B195" s="320">
        <v>45231</v>
      </c>
      <c r="C195" s="320">
        <v>45231</v>
      </c>
      <c r="D195" s="269">
        <v>11050</v>
      </c>
      <c r="E195" s="338" t="s">
        <v>1179</v>
      </c>
      <c r="F195" s="321" t="s">
        <v>1125</v>
      </c>
      <c r="G195" s="321" t="s">
        <v>468</v>
      </c>
      <c r="H195" s="321"/>
      <c r="I195" s="321">
        <v>0</v>
      </c>
      <c r="J195" s="270">
        <v>41</v>
      </c>
      <c r="K195" s="271">
        <v>120</v>
      </c>
      <c r="L195" s="263">
        <f t="shared" si="2"/>
        <v>4920</v>
      </c>
    </row>
    <row r="196" spans="1:12" ht="30" x14ac:dyDescent="0.25">
      <c r="A196" s="7"/>
      <c r="B196" s="320">
        <v>45231</v>
      </c>
      <c r="C196" s="320">
        <v>45231</v>
      </c>
      <c r="D196" s="269">
        <v>16166</v>
      </c>
      <c r="E196" s="338" t="s">
        <v>1180</v>
      </c>
      <c r="F196" s="321" t="s">
        <v>1125</v>
      </c>
      <c r="G196" s="321" t="s">
        <v>468</v>
      </c>
      <c r="H196" s="321"/>
      <c r="I196" s="321">
        <v>0</v>
      </c>
      <c r="J196" s="270">
        <v>125</v>
      </c>
      <c r="K196" s="272">
        <v>330.4</v>
      </c>
      <c r="L196" s="263">
        <f t="shared" si="2"/>
        <v>41300</v>
      </c>
    </row>
    <row r="197" spans="1:12" ht="54.75" customHeight="1" x14ac:dyDescent="0.25">
      <c r="A197" s="7"/>
      <c r="B197" s="320">
        <v>45231</v>
      </c>
      <c r="C197" s="320">
        <v>45231</v>
      </c>
      <c r="D197" s="269">
        <v>16281</v>
      </c>
      <c r="E197" s="338" t="s">
        <v>1181</v>
      </c>
      <c r="F197" s="321" t="s">
        <v>1125</v>
      </c>
      <c r="G197" s="321" t="s">
        <v>468</v>
      </c>
      <c r="H197" s="321"/>
      <c r="I197" s="321">
        <v>3</v>
      </c>
      <c r="J197" s="270">
        <v>183</v>
      </c>
      <c r="K197" s="274">
        <v>180</v>
      </c>
      <c r="L197" s="263">
        <f t="shared" si="2"/>
        <v>32940</v>
      </c>
    </row>
    <row r="198" spans="1:12" ht="34.5" customHeight="1" x14ac:dyDescent="0.25">
      <c r="A198" s="7"/>
      <c r="B198" s="320">
        <v>45231</v>
      </c>
      <c r="C198" s="320">
        <v>45231</v>
      </c>
      <c r="D198" s="269">
        <v>16204</v>
      </c>
      <c r="E198" s="338" t="s">
        <v>1182</v>
      </c>
      <c r="F198" s="321" t="s">
        <v>1125</v>
      </c>
      <c r="G198" s="321" t="s">
        <v>468</v>
      </c>
      <c r="H198" s="321"/>
      <c r="I198" s="321">
        <v>0</v>
      </c>
      <c r="J198" s="270">
        <v>138</v>
      </c>
      <c r="K198" s="271">
        <v>120</v>
      </c>
      <c r="L198" s="263">
        <f t="shared" si="2"/>
        <v>16560</v>
      </c>
    </row>
    <row r="199" spans="1:12" ht="39" customHeight="1" x14ac:dyDescent="0.25">
      <c r="A199" s="7"/>
      <c r="B199" s="320">
        <v>45231</v>
      </c>
      <c r="C199" s="320">
        <v>45231</v>
      </c>
      <c r="D199" s="269">
        <v>16206</v>
      </c>
      <c r="E199" s="338" t="s">
        <v>1183</v>
      </c>
      <c r="F199" s="321" t="s">
        <v>1125</v>
      </c>
      <c r="G199" s="321" t="s">
        <v>468</v>
      </c>
      <c r="H199" s="321"/>
      <c r="I199" s="321">
        <v>1</v>
      </c>
      <c r="J199" s="270">
        <v>577</v>
      </c>
      <c r="K199" s="271">
        <f>215+38.7</f>
        <v>253.7</v>
      </c>
      <c r="L199" s="263">
        <f t="shared" si="2"/>
        <v>146384.9</v>
      </c>
    </row>
    <row r="200" spans="1:12" ht="27" customHeight="1" x14ac:dyDescent="0.25">
      <c r="A200" s="7"/>
      <c r="B200" s="320">
        <v>45231</v>
      </c>
      <c r="C200" s="320">
        <v>45231</v>
      </c>
      <c r="D200" s="269">
        <v>16207</v>
      </c>
      <c r="E200" s="338" t="s">
        <v>1184</v>
      </c>
      <c r="F200" s="321" t="s">
        <v>1125</v>
      </c>
      <c r="G200" s="321" t="s">
        <v>468</v>
      </c>
      <c r="H200" s="321"/>
      <c r="I200" s="321">
        <v>0</v>
      </c>
      <c r="J200" s="270">
        <v>7</v>
      </c>
      <c r="K200" s="272">
        <v>120</v>
      </c>
      <c r="L200" s="263">
        <f t="shared" si="2"/>
        <v>840</v>
      </c>
    </row>
    <row r="201" spans="1:12" ht="22.5" customHeight="1" x14ac:dyDescent="0.25">
      <c r="A201" s="7"/>
      <c r="B201" s="320">
        <v>45231</v>
      </c>
      <c r="C201" s="320">
        <v>45231</v>
      </c>
      <c r="D201" s="269">
        <v>16210</v>
      </c>
      <c r="E201" s="338" t="s">
        <v>1185</v>
      </c>
      <c r="F201" s="321" t="s">
        <v>1125</v>
      </c>
      <c r="G201" s="321" t="s">
        <v>468</v>
      </c>
      <c r="H201" s="321"/>
      <c r="I201" s="321">
        <v>0</v>
      </c>
      <c r="J201" s="270">
        <v>39</v>
      </c>
      <c r="K201" s="272">
        <v>120</v>
      </c>
      <c r="L201" s="263">
        <f t="shared" si="2"/>
        <v>4680</v>
      </c>
    </row>
    <row r="202" spans="1:12" ht="15.75" x14ac:dyDescent="0.25">
      <c r="A202" s="7"/>
      <c r="B202" s="320">
        <v>45231</v>
      </c>
      <c r="C202" s="320">
        <v>45231</v>
      </c>
      <c r="D202" s="269">
        <v>16212</v>
      </c>
      <c r="E202" s="338" t="s">
        <v>1186</v>
      </c>
      <c r="F202" s="321" t="s">
        <v>1125</v>
      </c>
      <c r="G202" s="321" t="s">
        <v>468</v>
      </c>
      <c r="H202" s="321"/>
      <c r="I202" s="321">
        <v>0</v>
      </c>
      <c r="J202" s="270">
        <v>1</v>
      </c>
      <c r="K202" s="271">
        <v>180</v>
      </c>
      <c r="L202" s="263">
        <f t="shared" si="2"/>
        <v>180</v>
      </c>
    </row>
    <row r="203" spans="1:12" ht="15.75" x14ac:dyDescent="0.25">
      <c r="A203" s="7"/>
      <c r="B203" s="320">
        <v>45231</v>
      </c>
      <c r="C203" s="320">
        <v>45231</v>
      </c>
      <c r="D203" s="269">
        <v>16171</v>
      </c>
      <c r="E203" s="338" t="s">
        <v>1187</v>
      </c>
      <c r="F203" s="321" t="s">
        <v>1125</v>
      </c>
      <c r="G203" s="321" t="s">
        <v>468</v>
      </c>
      <c r="H203" s="321"/>
      <c r="I203" s="321">
        <v>0</v>
      </c>
      <c r="J203" s="270">
        <v>10</v>
      </c>
      <c r="K203" s="271">
        <v>120</v>
      </c>
      <c r="L203" s="263">
        <f t="shared" si="2"/>
        <v>1200</v>
      </c>
    </row>
    <row r="204" spans="1:12" ht="15.75" x14ac:dyDescent="0.25">
      <c r="A204" s="7"/>
      <c r="B204" s="320">
        <v>45231</v>
      </c>
      <c r="C204" s="320">
        <v>45231</v>
      </c>
      <c r="D204" s="269">
        <v>16214</v>
      </c>
      <c r="E204" s="338" t="s">
        <v>1188</v>
      </c>
      <c r="F204" s="321" t="s">
        <v>1125</v>
      </c>
      <c r="G204" s="321" t="s">
        <v>468</v>
      </c>
      <c r="H204" s="321"/>
      <c r="I204" s="321">
        <v>9</v>
      </c>
      <c r="J204" s="270">
        <v>81</v>
      </c>
      <c r="K204" s="271">
        <v>180</v>
      </c>
      <c r="L204" s="263">
        <f t="shared" ref="L204:L264" si="3">+J204*K204</f>
        <v>14580</v>
      </c>
    </row>
    <row r="205" spans="1:12" ht="15.75" x14ac:dyDescent="0.25">
      <c r="A205" s="7"/>
      <c r="B205" s="320">
        <v>45231</v>
      </c>
      <c r="C205" s="320">
        <v>45231</v>
      </c>
      <c r="D205" s="269">
        <v>16217</v>
      </c>
      <c r="E205" s="338" t="s">
        <v>1189</v>
      </c>
      <c r="F205" s="321" t="s">
        <v>1125</v>
      </c>
      <c r="G205" s="321" t="s">
        <v>468</v>
      </c>
      <c r="H205" s="321"/>
      <c r="I205" s="321">
        <v>0</v>
      </c>
      <c r="J205" s="270">
        <v>156</v>
      </c>
      <c r="K205" s="274">
        <v>115</v>
      </c>
      <c r="L205" s="263">
        <f t="shared" si="3"/>
        <v>17940</v>
      </c>
    </row>
    <row r="206" spans="1:12" ht="15.75" x14ac:dyDescent="0.25">
      <c r="A206" s="7"/>
      <c r="B206" s="320">
        <v>45231</v>
      </c>
      <c r="C206" s="320">
        <v>45231</v>
      </c>
      <c r="D206" s="269">
        <v>16219</v>
      </c>
      <c r="E206" s="338" t="s">
        <v>1190</v>
      </c>
      <c r="F206" s="321" t="s">
        <v>1125</v>
      </c>
      <c r="G206" s="321" t="s">
        <v>468</v>
      </c>
      <c r="H206" s="321"/>
      <c r="I206" s="321">
        <v>0</v>
      </c>
      <c r="J206" s="270">
        <v>3</v>
      </c>
      <c r="K206" s="272">
        <v>180</v>
      </c>
      <c r="L206" s="263">
        <f t="shared" si="3"/>
        <v>540</v>
      </c>
    </row>
    <row r="207" spans="1:12" ht="15.75" x14ac:dyDescent="0.25">
      <c r="A207" s="7"/>
      <c r="B207" s="320">
        <v>45231</v>
      </c>
      <c r="C207" s="320">
        <v>45231</v>
      </c>
      <c r="D207" s="269">
        <v>15807</v>
      </c>
      <c r="E207" s="338" t="s">
        <v>1191</v>
      </c>
      <c r="F207" s="321" t="s">
        <v>1125</v>
      </c>
      <c r="G207" s="321" t="s">
        <v>468</v>
      </c>
      <c r="H207" s="321"/>
      <c r="I207" s="321">
        <v>2</v>
      </c>
      <c r="J207" s="270">
        <v>138</v>
      </c>
      <c r="K207" s="272">
        <f>115+20.7</f>
        <v>135.69999999999999</v>
      </c>
      <c r="L207" s="263">
        <f t="shared" si="3"/>
        <v>18726.599999999999</v>
      </c>
    </row>
    <row r="208" spans="1:12" ht="30" x14ac:dyDescent="0.25">
      <c r="A208" s="7"/>
      <c r="B208" s="320">
        <v>45231</v>
      </c>
      <c r="C208" s="320">
        <v>45231</v>
      </c>
      <c r="D208" s="269">
        <v>4364</v>
      </c>
      <c r="E208" s="338" t="s">
        <v>1192</v>
      </c>
      <c r="F208" s="321" t="s">
        <v>1125</v>
      </c>
      <c r="G208" s="321" t="s">
        <v>468</v>
      </c>
      <c r="H208" s="321"/>
      <c r="I208" s="321">
        <v>0</v>
      </c>
      <c r="J208" s="270">
        <v>103</v>
      </c>
      <c r="K208" s="272">
        <v>135.69999999999999</v>
      </c>
      <c r="L208" s="263">
        <f t="shared" si="3"/>
        <v>13977.099999999999</v>
      </c>
    </row>
    <row r="209" spans="1:12" ht="15.75" x14ac:dyDescent="0.25">
      <c r="A209" s="7"/>
      <c r="B209" s="320">
        <v>45231</v>
      </c>
      <c r="C209" s="320">
        <v>45231</v>
      </c>
      <c r="D209" s="269">
        <v>16226</v>
      </c>
      <c r="E209" s="338" t="s">
        <v>1193</v>
      </c>
      <c r="F209" s="321" t="s">
        <v>1125</v>
      </c>
      <c r="G209" s="321" t="s">
        <v>468</v>
      </c>
      <c r="H209" s="321"/>
      <c r="I209" s="321">
        <v>0</v>
      </c>
      <c r="J209" s="270">
        <v>5</v>
      </c>
      <c r="K209" s="273">
        <v>40</v>
      </c>
      <c r="L209" s="263">
        <f t="shared" si="3"/>
        <v>200</v>
      </c>
    </row>
    <row r="210" spans="1:12" ht="20.25" customHeight="1" x14ac:dyDescent="0.25">
      <c r="A210" s="7"/>
      <c r="B210" s="320">
        <v>45231</v>
      </c>
      <c r="C210" s="320">
        <v>45231</v>
      </c>
      <c r="D210" s="269">
        <v>16227</v>
      </c>
      <c r="E210" s="338" t="s">
        <v>1194</v>
      </c>
      <c r="F210" s="321" t="s">
        <v>1125</v>
      </c>
      <c r="G210" s="321" t="s">
        <v>468</v>
      </c>
      <c r="H210" s="321"/>
      <c r="I210" s="321">
        <v>5</v>
      </c>
      <c r="J210" s="270">
        <v>168</v>
      </c>
      <c r="K210" s="271">
        <v>123.9</v>
      </c>
      <c r="L210" s="263">
        <f t="shared" si="3"/>
        <v>20815.2</v>
      </c>
    </row>
    <row r="211" spans="1:12" ht="30" x14ac:dyDescent="0.25">
      <c r="A211" s="7"/>
      <c r="B211" s="320">
        <v>45231</v>
      </c>
      <c r="C211" s="320">
        <v>45231</v>
      </c>
      <c r="D211" s="269">
        <v>16235</v>
      </c>
      <c r="E211" s="338" t="s">
        <v>1195</v>
      </c>
      <c r="F211" s="321" t="s">
        <v>1125</v>
      </c>
      <c r="G211" s="321" t="s">
        <v>468</v>
      </c>
      <c r="H211" s="321"/>
      <c r="I211" s="321">
        <v>0</v>
      </c>
      <c r="J211" s="270">
        <v>2</v>
      </c>
      <c r="K211" s="271">
        <v>180</v>
      </c>
      <c r="L211" s="263">
        <f t="shared" si="3"/>
        <v>360</v>
      </c>
    </row>
    <row r="212" spans="1:12" ht="30" x14ac:dyDescent="0.25">
      <c r="A212" s="7"/>
      <c r="B212" s="320">
        <v>45231</v>
      </c>
      <c r="C212" s="320">
        <v>45231</v>
      </c>
      <c r="D212" s="269">
        <v>16236</v>
      </c>
      <c r="E212" s="338" t="s">
        <v>1196</v>
      </c>
      <c r="F212" s="321" t="s">
        <v>1125</v>
      </c>
      <c r="G212" s="321" t="s">
        <v>468</v>
      </c>
      <c r="H212" s="321">
        <v>50</v>
      </c>
      <c r="I212" s="321">
        <v>6</v>
      </c>
      <c r="J212" s="270">
        <v>106</v>
      </c>
      <c r="K212" s="271">
        <v>180</v>
      </c>
      <c r="L212" s="263">
        <f t="shared" si="3"/>
        <v>19080</v>
      </c>
    </row>
    <row r="213" spans="1:12" ht="30" x14ac:dyDescent="0.25">
      <c r="A213" s="7"/>
      <c r="B213" s="320">
        <v>45231</v>
      </c>
      <c r="C213" s="320">
        <v>45231</v>
      </c>
      <c r="D213" s="269">
        <v>16238</v>
      </c>
      <c r="E213" s="338" t="s">
        <v>1197</v>
      </c>
      <c r="F213" s="321" t="s">
        <v>1125</v>
      </c>
      <c r="G213" s="321" t="s">
        <v>468</v>
      </c>
      <c r="H213" s="321"/>
      <c r="I213" s="321">
        <v>0</v>
      </c>
      <c r="J213" s="270">
        <v>4</v>
      </c>
      <c r="K213" s="274">
        <v>120</v>
      </c>
      <c r="L213" s="263">
        <f t="shared" si="3"/>
        <v>480</v>
      </c>
    </row>
    <row r="214" spans="1:12" ht="30" x14ac:dyDescent="0.25">
      <c r="A214" s="7"/>
      <c r="B214" s="320">
        <v>45231</v>
      </c>
      <c r="C214" s="320">
        <v>45231</v>
      </c>
      <c r="D214" s="269">
        <v>16239</v>
      </c>
      <c r="E214" s="338" t="s">
        <v>1198</v>
      </c>
      <c r="F214" s="321" t="s">
        <v>1125</v>
      </c>
      <c r="G214" s="321" t="s">
        <v>468</v>
      </c>
      <c r="H214" s="321"/>
      <c r="I214" s="321">
        <v>0</v>
      </c>
      <c r="J214" s="270">
        <v>1</v>
      </c>
      <c r="K214" s="272">
        <v>180</v>
      </c>
      <c r="L214" s="263">
        <f t="shared" si="3"/>
        <v>180</v>
      </c>
    </row>
    <row r="215" spans="1:12" ht="30" x14ac:dyDescent="0.25">
      <c r="A215" s="7"/>
      <c r="B215" s="320">
        <v>45231</v>
      </c>
      <c r="C215" s="320">
        <v>45231</v>
      </c>
      <c r="D215" s="269">
        <v>16243</v>
      </c>
      <c r="E215" s="338" t="s">
        <v>1199</v>
      </c>
      <c r="F215" s="321" t="s">
        <v>1125</v>
      </c>
      <c r="G215" s="321" t="s">
        <v>468</v>
      </c>
      <c r="H215" s="321"/>
      <c r="I215" s="321">
        <v>0</v>
      </c>
      <c r="J215" s="270">
        <v>73</v>
      </c>
      <c r="K215" s="272">
        <v>180</v>
      </c>
      <c r="L215" s="263">
        <f t="shared" si="3"/>
        <v>13140</v>
      </c>
    </row>
    <row r="216" spans="1:12" ht="30" x14ac:dyDescent="0.25">
      <c r="A216" s="7"/>
      <c r="B216" s="320">
        <v>45231</v>
      </c>
      <c r="C216" s="320">
        <v>45231</v>
      </c>
      <c r="D216" s="269">
        <v>16244</v>
      </c>
      <c r="E216" s="338" t="s">
        <v>1200</v>
      </c>
      <c r="F216" s="321" t="s">
        <v>1125</v>
      </c>
      <c r="G216" s="321" t="s">
        <v>468</v>
      </c>
      <c r="H216" s="321"/>
      <c r="I216" s="321">
        <v>0</v>
      </c>
      <c r="J216" s="270">
        <v>57</v>
      </c>
      <c r="K216" s="272">
        <v>120</v>
      </c>
      <c r="L216" s="263">
        <f t="shared" si="3"/>
        <v>6840</v>
      </c>
    </row>
    <row r="217" spans="1:12" ht="45" x14ac:dyDescent="0.25">
      <c r="A217" s="7"/>
      <c r="B217" s="320">
        <v>45231</v>
      </c>
      <c r="C217" s="320">
        <v>45231</v>
      </c>
      <c r="D217" s="269">
        <v>16245</v>
      </c>
      <c r="E217" s="338" t="s">
        <v>1201</v>
      </c>
      <c r="F217" s="321" t="s">
        <v>1125</v>
      </c>
      <c r="G217" s="321" t="s">
        <v>468</v>
      </c>
      <c r="H217" s="321"/>
      <c r="I217" s="321">
        <v>0</v>
      </c>
      <c r="J217" s="270">
        <v>45</v>
      </c>
      <c r="K217" s="272">
        <v>240</v>
      </c>
      <c r="L217" s="263">
        <f t="shared" si="3"/>
        <v>10800</v>
      </c>
    </row>
    <row r="218" spans="1:12" ht="30" x14ac:dyDescent="0.25">
      <c r="A218" s="7"/>
      <c r="B218" s="320">
        <v>45231</v>
      </c>
      <c r="C218" s="320">
        <v>45231</v>
      </c>
      <c r="D218" s="269">
        <v>16247</v>
      </c>
      <c r="E218" s="338" t="s">
        <v>1202</v>
      </c>
      <c r="F218" s="321" t="s">
        <v>1125</v>
      </c>
      <c r="G218" s="321" t="s">
        <v>468</v>
      </c>
      <c r="H218" s="321"/>
      <c r="I218" s="321">
        <v>0</v>
      </c>
      <c r="J218" s="270">
        <v>2</v>
      </c>
      <c r="K218" s="272">
        <v>180</v>
      </c>
      <c r="L218" s="263">
        <f t="shared" si="3"/>
        <v>360</v>
      </c>
    </row>
    <row r="219" spans="1:12" ht="15.75" x14ac:dyDescent="0.25">
      <c r="A219" s="7"/>
      <c r="B219" s="320">
        <v>45231</v>
      </c>
      <c r="C219" s="320">
        <v>45231</v>
      </c>
      <c r="D219" s="269">
        <v>16248</v>
      </c>
      <c r="E219" s="338" t="s">
        <v>1203</v>
      </c>
      <c r="F219" s="321" t="s">
        <v>1125</v>
      </c>
      <c r="G219" s="321" t="s">
        <v>468</v>
      </c>
      <c r="H219" s="321"/>
      <c r="I219" s="321">
        <v>0</v>
      </c>
      <c r="J219" s="270">
        <v>29</v>
      </c>
      <c r="K219" s="272">
        <v>120</v>
      </c>
      <c r="L219" s="263">
        <f t="shared" si="3"/>
        <v>3480</v>
      </c>
    </row>
    <row r="220" spans="1:12" ht="15.75" x14ac:dyDescent="0.25">
      <c r="A220" s="7"/>
      <c r="B220" s="320">
        <v>45231</v>
      </c>
      <c r="C220" s="320">
        <v>45231</v>
      </c>
      <c r="D220" s="269">
        <v>16249</v>
      </c>
      <c r="E220" s="338" t="s">
        <v>1204</v>
      </c>
      <c r="F220" s="321" t="s">
        <v>1125</v>
      </c>
      <c r="G220" s="321" t="s">
        <v>468</v>
      </c>
      <c r="H220" s="321"/>
      <c r="I220" s="321">
        <v>13</v>
      </c>
      <c r="J220" s="270">
        <v>112</v>
      </c>
      <c r="K220" s="271">
        <v>259.60000000000002</v>
      </c>
      <c r="L220" s="263">
        <f t="shared" si="3"/>
        <v>29075.200000000004</v>
      </c>
    </row>
    <row r="221" spans="1:12" ht="15.75" x14ac:dyDescent="0.25">
      <c r="A221" s="7"/>
      <c r="B221" s="320">
        <v>45231</v>
      </c>
      <c r="C221" s="320">
        <v>45231</v>
      </c>
      <c r="D221" s="269">
        <v>16258</v>
      </c>
      <c r="E221" s="338" t="s">
        <v>1205</v>
      </c>
      <c r="F221" s="321" t="s">
        <v>1125</v>
      </c>
      <c r="G221" s="321" t="s">
        <v>468</v>
      </c>
      <c r="H221" s="321"/>
      <c r="I221" s="321">
        <v>0</v>
      </c>
      <c r="J221" s="270">
        <v>3</v>
      </c>
      <c r="K221" s="271">
        <v>120</v>
      </c>
      <c r="L221" s="263">
        <f t="shared" si="3"/>
        <v>360</v>
      </c>
    </row>
    <row r="222" spans="1:12" ht="15.75" x14ac:dyDescent="0.25">
      <c r="A222" s="7"/>
      <c r="B222" s="320">
        <v>45231</v>
      </c>
      <c r="C222" s="320">
        <v>45231</v>
      </c>
      <c r="D222" s="269">
        <v>18408</v>
      </c>
      <c r="E222" s="338" t="s">
        <v>1206</v>
      </c>
      <c r="F222" s="321" t="s">
        <v>1125</v>
      </c>
      <c r="G222" s="321" t="s">
        <v>468</v>
      </c>
      <c r="H222" s="321"/>
      <c r="I222" s="321">
        <v>52</v>
      </c>
      <c r="J222" s="270">
        <v>167</v>
      </c>
      <c r="K222" s="273">
        <v>40</v>
      </c>
      <c r="L222" s="263">
        <f t="shared" si="3"/>
        <v>6680</v>
      </c>
    </row>
    <row r="223" spans="1:12" ht="15.75" x14ac:dyDescent="0.25">
      <c r="A223" s="7"/>
      <c r="B223" s="320">
        <v>45231</v>
      </c>
      <c r="C223" s="320">
        <v>45231</v>
      </c>
      <c r="D223" s="269">
        <v>20999</v>
      </c>
      <c r="E223" s="338" t="s">
        <v>1207</v>
      </c>
      <c r="F223" s="321" t="s">
        <v>1125</v>
      </c>
      <c r="G223" s="321" t="s">
        <v>468</v>
      </c>
      <c r="H223" s="321"/>
      <c r="I223" s="321">
        <v>0</v>
      </c>
      <c r="J223" s="270">
        <v>160</v>
      </c>
      <c r="K223" s="272">
        <f>67+12.06</f>
        <v>79.06</v>
      </c>
      <c r="L223" s="263">
        <f t="shared" si="3"/>
        <v>12649.6</v>
      </c>
    </row>
    <row r="224" spans="1:12" ht="15.75" x14ac:dyDescent="0.25">
      <c r="A224" s="7"/>
      <c r="B224" s="320">
        <v>45231</v>
      </c>
      <c r="C224" s="320">
        <v>45231</v>
      </c>
      <c r="D224" s="269">
        <v>16260</v>
      </c>
      <c r="E224" s="338" t="s">
        <v>1208</v>
      </c>
      <c r="F224" s="321" t="s">
        <v>1125</v>
      </c>
      <c r="G224" s="321" t="s">
        <v>468</v>
      </c>
      <c r="H224" s="321"/>
      <c r="I224" s="321">
        <v>0</v>
      </c>
      <c r="J224" s="270">
        <v>75</v>
      </c>
      <c r="K224" s="272">
        <v>120</v>
      </c>
      <c r="L224" s="263">
        <f t="shared" si="3"/>
        <v>9000</v>
      </c>
    </row>
    <row r="225" spans="1:12" ht="30" x14ac:dyDescent="0.25">
      <c r="A225" s="7"/>
      <c r="B225" s="320">
        <v>45231</v>
      </c>
      <c r="C225" s="320">
        <v>45231</v>
      </c>
      <c r="D225" s="269">
        <v>21608</v>
      </c>
      <c r="E225" s="338" t="s">
        <v>1209</v>
      </c>
      <c r="F225" s="321" t="s">
        <v>1125</v>
      </c>
      <c r="G225" s="321" t="s">
        <v>468</v>
      </c>
      <c r="H225" s="321"/>
      <c r="I225" s="321">
        <v>0</v>
      </c>
      <c r="J225" s="270">
        <v>254</v>
      </c>
      <c r="K225" s="271">
        <v>230</v>
      </c>
      <c r="L225" s="263">
        <f t="shared" si="3"/>
        <v>58420</v>
      </c>
    </row>
    <row r="226" spans="1:12" ht="25.5" customHeight="1" x14ac:dyDescent="0.25">
      <c r="A226" s="7"/>
      <c r="B226" s="320">
        <v>45231</v>
      </c>
      <c r="C226" s="320">
        <v>45231</v>
      </c>
      <c r="D226" s="269">
        <v>4598</v>
      </c>
      <c r="E226" s="338" t="s">
        <v>1210</v>
      </c>
      <c r="F226" s="321" t="s">
        <v>1125</v>
      </c>
      <c r="G226" s="321" t="s">
        <v>468</v>
      </c>
      <c r="H226" s="321"/>
      <c r="I226" s="321">
        <v>0</v>
      </c>
      <c r="J226" s="270">
        <v>4</v>
      </c>
      <c r="K226" s="271">
        <v>40</v>
      </c>
      <c r="L226" s="263">
        <f t="shared" si="3"/>
        <v>160</v>
      </c>
    </row>
    <row r="227" spans="1:12" ht="22.5" customHeight="1" x14ac:dyDescent="0.25">
      <c r="A227" s="7"/>
      <c r="B227" s="320">
        <v>45231</v>
      </c>
      <c r="C227" s="320">
        <v>45231</v>
      </c>
      <c r="D227" s="269">
        <v>19267</v>
      </c>
      <c r="E227" s="338" t="s">
        <v>1211</v>
      </c>
      <c r="F227" s="321" t="s">
        <v>1125</v>
      </c>
      <c r="G227" s="321" t="s">
        <v>468</v>
      </c>
      <c r="H227" s="321"/>
      <c r="I227" s="321">
        <v>0</v>
      </c>
      <c r="J227" s="270">
        <v>7</v>
      </c>
      <c r="K227" s="271">
        <v>40</v>
      </c>
      <c r="L227" s="263">
        <f t="shared" si="3"/>
        <v>280</v>
      </c>
    </row>
    <row r="228" spans="1:12" ht="15.75" x14ac:dyDescent="0.25">
      <c r="A228" s="7"/>
      <c r="B228" s="320">
        <v>45231</v>
      </c>
      <c r="C228" s="320">
        <v>45231</v>
      </c>
      <c r="D228" s="269">
        <v>16268</v>
      </c>
      <c r="E228" s="338" t="s">
        <v>1212</v>
      </c>
      <c r="F228" s="321" t="s">
        <v>1125</v>
      </c>
      <c r="G228" s="321" t="s">
        <v>468</v>
      </c>
      <c r="H228" s="321"/>
      <c r="I228" s="321">
        <v>0</v>
      </c>
      <c r="J228" s="270">
        <v>57</v>
      </c>
      <c r="K228" s="271">
        <v>180</v>
      </c>
      <c r="L228" s="263">
        <f t="shared" si="3"/>
        <v>10260</v>
      </c>
    </row>
    <row r="229" spans="1:12" ht="30" x14ac:dyDescent="0.25">
      <c r="A229" s="7"/>
      <c r="B229" s="320">
        <v>45231</v>
      </c>
      <c r="C229" s="320">
        <v>45231</v>
      </c>
      <c r="D229" s="269">
        <v>16272</v>
      </c>
      <c r="E229" s="338" t="s">
        <v>1213</v>
      </c>
      <c r="F229" s="321" t="s">
        <v>1125</v>
      </c>
      <c r="G229" s="321" t="s">
        <v>468</v>
      </c>
      <c r="H229" s="321"/>
      <c r="I229" s="321">
        <v>0</v>
      </c>
      <c r="J229" s="270">
        <v>50</v>
      </c>
      <c r="K229" s="271">
        <v>141.6</v>
      </c>
      <c r="L229" s="263">
        <f t="shared" si="3"/>
        <v>7080</v>
      </c>
    </row>
    <row r="230" spans="1:12" ht="15.75" x14ac:dyDescent="0.25">
      <c r="A230" s="7"/>
      <c r="B230" s="320">
        <v>45231</v>
      </c>
      <c r="C230" s="320">
        <v>45231</v>
      </c>
      <c r="D230" s="269">
        <v>20996</v>
      </c>
      <c r="E230" s="338" t="s">
        <v>1214</v>
      </c>
      <c r="F230" s="321" t="s">
        <v>1125</v>
      </c>
      <c r="G230" s="321" t="s">
        <v>468</v>
      </c>
      <c r="H230" s="321"/>
      <c r="I230" s="321">
        <v>0</v>
      </c>
      <c r="J230" s="270">
        <v>126</v>
      </c>
      <c r="K230" s="271">
        <v>142.6</v>
      </c>
      <c r="L230" s="263">
        <f t="shared" si="3"/>
        <v>17967.599999999999</v>
      </c>
    </row>
    <row r="231" spans="1:12" ht="15.75" x14ac:dyDescent="0.25">
      <c r="A231" s="7"/>
      <c r="B231" s="320">
        <v>45231</v>
      </c>
      <c r="C231" s="320">
        <v>45231</v>
      </c>
      <c r="D231" s="269">
        <v>16274</v>
      </c>
      <c r="E231" s="338" t="s">
        <v>1215</v>
      </c>
      <c r="F231" s="321" t="s">
        <v>1125</v>
      </c>
      <c r="G231" s="321" t="s">
        <v>468</v>
      </c>
      <c r="H231" s="321"/>
      <c r="I231" s="321">
        <v>0</v>
      </c>
      <c r="J231" s="270">
        <v>6</v>
      </c>
      <c r="K231" s="272">
        <v>180</v>
      </c>
      <c r="L231" s="263">
        <f t="shared" si="3"/>
        <v>1080</v>
      </c>
    </row>
    <row r="232" spans="1:12" ht="30" x14ac:dyDescent="0.25">
      <c r="A232" s="7"/>
      <c r="B232" s="320">
        <v>45231</v>
      </c>
      <c r="C232" s="320">
        <v>45231</v>
      </c>
      <c r="D232" s="269">
        <v>16209</v>
      </c>
      <c r="E232" s="338" t="s">
        <v>1216</v>
      </c>
      <c r="F232" s="321" t="s">
        <v>1125</v>
      </c>
      <c r="G232" s="321" t="s">
        <v>468</v>
      </c>
      <c r="H232" s="321"/>
      <c r="I232" s="321">
        <v>0</v>
      </c>
      <c r="J232" s="270">
        <v>13</v>
      </c>
      <c r="K232" s="271">
        <v>75</v>
      </c>
      <c r="L232" s="263">
        <f t="shared" si="3"/>
        <v>975</v>
      </c>
    </row>
    <row r="233" spans="1:12" ht="15.75" x14ac:dyDescent="0.25">
      <c r="A233" s="7"/>
      <c r="B233" s="320">
        <v>45231</v>
      </c>
      <c r="C233" s="320">
        <v>45231</v>
      </c>
      <c r="D233" s="269">
        <v>16288</v>
      </c>
      <c r="E233" s="338" t="s">
        <v>1217</v>
      </c>
      <c r="F233" s="321" t="s">
        <v>1125</v>
      </c>
      <c r="G233" s="321" t="s">
        <v>468</v>
      </c>
      <c r="H233" s="321"/>
      <c r="I233" s="321">
        <v>0</v>
      </c>
      <c r="J233" s="270">
        <v>97</v>
      </c>
      <c r="K233" s="271">
        <v>236</v>
      </c>
      <c r="L233" s="263">
        <f t="shared" si="3"/>
        <v>22892</v>
      </c>
    </row>
    <row r="234" spans="1:12" ht="15.75" x14ac:dyDescent="0.25">
      <c r="A234" s="7"/>
      <c r="B234" s="320">
        <v>45231</v>
      </c>
      <c r="C234" s="320">
        <v>45231</v>
      </c>
      <c r="D234" s="269">
        <v>9877</v>
      </c>
      <c r="E234" s="338" t="s">
        <v>1218</v>
      </c>
      <c r="F234" s="321" t="s">
        <v>1125</v>
      </c>
      <c r="G234" s="321" t="s">
        <v>468</v>
      </c>
      <c r="H234" s="321"/>
      <c r="I234" s="321">
        <v>0</v>
      </c>
      <c r="J234" s="270">
        <v>120</v>
      </c>
      <c r="K234" s="271">
        <v>95</v>
      </c>
      <c r="L234" s="263">
        <f t="shared" si="3"/>
        <v>11400</v>
      </c>
    </row>
    <row r="235" spans="1:12" ht="15.75" x14ac:dyDescent="0.25">
      <c r="A235" s="7"/>
      <c r="B235" s="320">
        <v>45231</v>
      </c>
      <c r="C235" s="320">
        <v>45231</v>
      </c>
      <c r="D235" s="269">
        <v>16279</v>
      </c>
      <c r="E235" s="338" t="s">
        <v>1219</v>
      </c>
      <c r="F235" s="321" t="s">
        <v>1125</v>
      </c>
      <c r="G235" s="321" t="s">
        <v>468</v>
      </c>
      <c r="H235" s="321"/>
      <c r="I235" s="321">
        <v>0</v>
      </c>
      <c r="J235" s="270">
        <v>3</v>
      </c>
      <c r="K235" s="272">
        <v>120</v>
      </c>
      <c r="L235" s="263">
        <f t="shared" si="3"/>
        <v>360</v>
      </c>
    </row>
    <row r="236" spans="1:12" ht="21.75" customHeight="1" x14ac:dyDescent="0.25">
      <c r="A236" s="7"/>
      <c r="B236" s="320">
        <v>45231</v>
      </c>
      <c r="C236" s="320">
        <v>45231</v>
      </c>
      <c r="D236" s="269">
        <v>16289</v>
      </c>
      <c r="E236" s="338" t="s">
        <v>1220</v>
      </c>
      <c r="F236" s="321" t="s">
        <v>1125</v>
      </c>
      <c r="G236" s="321" t="s">
        <v>468</v>
      </c>
      <c r="H236" s="321"/>
      <c r="I236" s="321">
        <v>0</v>
      </c>
      <c r="J236" s="270">
        <v>39</v>
      </c>
      <c r="K236" s="273">
        <v>180</v>
      </c>
      <c r="L236" s="263">
        <f t="shared" si="3"/>
        <v>7020</v>
      </c>
    </row>
    <row r="237" spans="1:12" ht="18.75" customHeight="1" x14ac:dyDescent="0.25">
      <c r="A237" s="7"/>
      <c r="B237" s="320">
        <v>45231</v>
      </c>
      <c r="C237" s="320">
        <v>45231</v>
      </c>
      <c r="D237" s="269">
        <v>16286</v>
      </c>
      <c r="E237" s="338" t="s">
        <v>1221</v>
      </c>
      <c r="F237" s="321" t="s">
        <v>1125</v>
      </c>
      <c r="G237" s="321" t="s">
        <v>468</v>
      </c>
      <c r="H237" s="321"/>
      <c r="I237" s="321">
        <v>0</v>
      </c>
      <c r="J237" s="270">
        <v>67</v>
      </c>
      <c r="K237" s="272">
        <v>194.7</v>
      </c>
      <c r="L237" s="263">
        <f t="shared" si="3"/>
        <v>13044.9</v>
      </c>
    </row>
    <row r="238" spans="1:12" ht="15.75" x14ac:dyDescent="0.25">
      <c r="A238" s="7"/>
      <c r="B238" s="320">
        <v>45231</v>
      </c>
      <c r="C238" s="320">
        <v>45231</v>
      </c>
      <c r="D238" s="269">
        <v>16287</v>
      </c>
      <c r="E238" s="338" t="s">
        <v>1222</v>
      </c>
      <c r="F238" s="321" t="s">
        <v>1125</v>
      </c>
      <c r="G238" s="321" t="s">
        <v>468</v>
      </c>
      <c r="H238" s="321"/>
      <c r="I238" s="321">
        <v>0</v>
      </c>
      <c r="J238" s="270">
        <v>36</v>
      </c>
      <c r="K238" s="272">
        <v>141.6</v>
      </c>
      <c r="L238" s="263">
        <f t="shared" si="3"/>
        <v>5097.5999999999995</v>
      </c>
    </row>
    <row r="239" spans="1:12" ht="30" x14ac:dyDescent="0.25">
      <c r="A239" s="7"/>
      <c r="B239" s="320">
        <v>45231</v>
      </c>
      <c r="C239" s="320">
        <v>45231</v>
      </c>
      <c r="D239" s="269">
        <v>16294</v>
      </c>
      <c r="E239" s="338" t="s">
        <v>1223</v>
      </c>
      <c r="F239" s="321" t="s">
        <v>1125</v>
      </c>
      <c r="G239" s="321" t="s">
        <v>468</v>
      </c>
      <c r="H239" s="321"/>
      <c r="I239" s="321">
        <v>0</v>
      </c>
      <c r="J239" s="270">
        <v>96</v>
      </c>
      <c r="K239" s="272">
        <v>212.4</v>
      </c>
      <c r="L239" s="263">
        <f t="shared" si="3"/>
        <v>20390.400000000001</v>
      </c>
    </row>
    <row r="240" spans="1:12" ht="15.75" x14ac:dyDescent="0.25">
      <c r="A240" s="7"/>
      <c r="B240" s="320">
        <v>45231</v>
      </c>
      <c r="C240" s="320">
        <v>45231</v>
      </c>
      <c r="D240" s="269">
        <v>16297</v>
      </c>
      <c r="E240" s="338" t="s">
        <v>1224</v>
      </c>
      <c r="F240" s="321" t="s">
        <v>1125</v>
      </c>
      <c r="G240" s="321" t="s">
        <v>468</v>
      </c>
      <c r="H240" s="321"/>
      <c r="I240" s="321">
        <v>0</v>
      </c>
      <c r="J240" s="270">
        <v>188</v>
      </c>
      <c r="K240" s="272">
        <v>230</v>
      </c>
      <c r="L240" s="263">
        <f t="shared" si="3"/>
        <v>43240</v>
      </c>
    </row>
    <row r="241" spans="1:12" ht="15.75" x14ac:dyDescent="0.25">
      <c r="A241" s="7"/>
      <c r="B241" s="320">
        <v>45231</v>
      </c>
      <c r="C241" s="320">
        <v>45231</v>
      </c>
      <c r="D241" s="269">
        <v>12533</v>
      </c>
      <c r="E241" s="338" t="s">
        <v>1225</v>
      </c>
      <c r="F241" s="321" t="s">
        <v>1125</v>
      </c>
      <c r="G241" s="321" t="s">
        <v>468</v>
      </c>
      <c r="H241" s="321"/>
      <c r="I241" s="321">
        <v>0</v>
      </c>
      <c r="J241" s="270">
        <v>37</v>
      </c>
      <c r="K241" s="272">
        <v>180</v>
      </c>
      <c r="L241" s="263">
        <f t="shared" si="3"/>
        <v>6660</v>
      </c>
    </row>
    <row r="242" spans="1:12" ht="15.75" x14ac:dyDescent="0.25">
      <c r="A242" s="7"/>
      <c r="B242" s="320">
        <v>45231</v>
      </c>
      <c r="C242" s="320">
        <v>45231</v>
      </c>
      <c r="D242" s="269">
        <v>16192</v>
      </c>
      <c r="E242" s="338" t="s">
        <v>1226</v>
      </c>
      <c r="F242" s="321" t="s">
        <v>1125</v>
      </c>
      <c r="G242" s="321" t="s">
        <v>468</v>
      </c>
      <c r="H242" s="321"/>
      <c r="I242" s="321">
        <v>6</v>
      </c>
      <c r="J242" s="270">
        <v>44</v>
      </c>
      <c r="K242" s="271">
        <v>190</v>
      </c>
      <c r="L242" s="263">
        <f t="shared" si="3"/>
        <v>8360</v>
      </c>
    </row>
    <row r="243" spans="1:12" ht="30" x14ac:dyDescent="0.25">
      <c r="A243" s="7"/>
      <c r="B243" s="320">
        <v>45231</v>
      </c>
      <c r="C243" s="320">
        <v>45231</v>
      </c>
      <c r="D243" s="269">
        <v>16207</v>
      </c>
      <c r="E243" s="338" t="s">
        <v>1227</v>
      </c>
      <c r="F243" s="321" t="s">
        <v>1125</v>
      </c>
      <c r="G243" s="321" t="s">
        <v>468</v>
      </c>
      <c r="H243" s="321"/>
      <c r="I243" s="321">
        <v>0</v>
      </c>
      <c r="J243" s="270">
        <v>5</v>
      </c>
      <c r="K243" s="271">
        <v>230</v>
      </c>
      <c r="L243" s="263">
        <f t="shared" si="3"/>
        <v>1150</v>
      </c>
    </row>
    <row r="244" spans="1:12" ht="15.75" x14ac:dyDescent="0.25">
      <c r="A244" s="7"/>
      <c r="B244" s="320">
        <v>45231</v>
      </c>
      <c r="C244" s="320">
        <v>45231</v>
      </c>
      <c r="D244" s="269">
        <v>4385</v>
      </c>
      <c r="E244" s="338" t="s">
        <v>1228</v>
      </c>
      <c r="F244" s="321" t="s">
        <v>1125</v>
      </c>
      <c r="G244" s="321" t="s">
        <v>468</v>
      </c>
      <c r="H244" s="321">
        <v>10000</v>
      </c>
      <c r="I244" s="321">
        <v>9400</v>
      </c>
      <c r="J244" s="270">
        <v>5000</v>
      </c>
      <c r="K244" s="271">
        <v>3</v>
      </c>
      <c r="L244" s="263">
        <f t="shared" si="3"/>
        <v>15000</v>
      </c>
    </row>
    <row r="245" spans="1:12" ht="30" x14ac:dyDescent="0.25">
      <c r="A245" s="7"/>
      <c r="B245" s="320">
        <v>45231</v>
      </c>
      <c r="C245" s="320">
        <v>45231</v>
      </c>
      <c r="D245" s="269">
        <v>18766</v>
      </c>
      <c r="E245" s="338" t="s">
        <v>1229</v>
      </c>
      <c r="F245" s="321" t="s">
        <v>1125</v>
      </c>
      <c r="G245" s="321" t="s">
        <v>468</v>
      </c>
      <c r="H245" s="321"/>
      <c r="I245" s="321">
        <v>0</v>
      </c>
      <c r="J245" s="270">
        <v>129</v>
      </c>
      <c r="K245" s="272">
        <v>120</v>
      </c>
      <c r="L245" s="263">
        <f t="shared" si="3"/>
        <v>15480</v>
      </c>
    </row>
    <row r="246" spans="1:12" ht="15.75" x14ac:dyDescent="0.25">
      <c r="A246" s="7"/>
      <c r="B246" s="320">
        <v>45231</v>
      </c>
      <c r="C246" s="320">
        <v>45231</v>
      </c>
      <c r="D246" s="269">
        <v>15612</v>
      </c>
      <c r="E246" s="338" t="s">
        <v>1230</v>
      </c>
      <c r="F246" s="321" t="s">
        <v>1125</v>
      </c>
      <c r="G246" s="321" t="s">
        <v>468</v>
      </c>
      <c r="H246" s="321"/>
      <c r="I246" s="321">
        <v>0</v>
      </c>
      <c r="J246" s="270">
        <v>24</v>
      </c>
      <c r="K246" s="271">
        <v>180</v>
      </c>
      <c r="L246" s="263">
        <f t="shared" si="3"/>
        <v>4320</v>
      </c>
    </row>
    <row r="247" spans="1:12" ht="30" x14ac:dyDescent="0.25">
      <c r="A247" s="7"/>
      <c r="B247" s="320">
        <v>45231</v>
      </c>
      <c r="C247" s="320">
        <v>45231</v>
      </c>
      <c r="D247" s="269">
        <v>14365</v>
      </c>
      <c r="E247" s="338" t="s">
        <v>1231</v>
      </c>
      <c r="F247" s="321" t="s">
        <v>1125</v>
      </c>
      <c r="G247" s="321" t="s">
        <v>468</v>
      </c>
      <c r="H247" s="321"/>
      <c r="I247" s="321">
        <v>2</v>
      </c>
      <c r="J247" s="270">
        <v>90</v>
      </c>
      <c r="K247" s="271">
        <v>429.52</v>
      </c>
      <c r="L247" s="263">
        <f t="shared" si="3"/>
        <v>38656.799999999996</v>
      </c>
    </row>
    <row r="248" spans="1:12" ht="15.75" x14ac:dyDescent="0.25">
      <c r="A248" s="7"/>
      <c r="B248" s="320">
        <v>45231</v>
      </c>
      <c r="C248" s="320">
        <v>45231</v>
      </c>
      <c r="D248" s="269">
        <v>4382</v>
      </c>
      <c r="E248" s="338" t="s">
        <v>1232</v>
      </c>
      <c r="F248" s="321" t="s">
        <v>1125</v>
      </c>
      <c r="G248" s="321" t="s">
        <v>468</v>
      </c>
      <c r="H248" s="321"/>
      <c r="I248" s="321">
        <v>0</v>
      </c>
      <c r="J248" s="270">
        <v>133</v>
      </c>
      <c r="K248" s="272">
        <v>194.7</v>
      </c>
      <c r="L248" s="263">
        <f t="shared" si="3"/>
        <v>25895.1</v>
      </c>
    </row>
    <row r="249" spans="1:12" ht="30" x14ac:dyDescent="0.25">
      <c r="A249" s="7"/>
      <c r="B249" s="320">
        <v>45231</v>
      </c>
      <c r="C249" s="320">
        <v>45231</v>
      </c>
      <c r="D249" s="269">
        <v>21627</v>
      </c>
      <c r="E249" s="338" t="s">
        <v>1233</v>
      </c>
      <c r="F249" s="321" t="s">
        <v>1125</v>
      </c>
      <c r="G249" s="321" t="s">
        <v>468</v>
      </c>
      <c r="H249" s="321"/>
      <c r="I249" s="321">
        <v>0</v>
      </c>
      <c r="J249" s="270">
        <v>100</v>
      </c>
      <c r="K249" s="272">
        <v>200.6</v>
      </c>
      <c r="L249" s="263">
        <f t="shared" si="3"/>
        <v>20060</v>
      </c>
    </row>
    <row r="250" spans="1:12" ht="15.75" x14ac:dyDescent="0.25">
      <c r="A250" s="7"/>
      <c r="B250" s="320">
        <v>45231</v>
      </c>
      <c r="C250" s="320">
        <v>45231</v>
      </c>
      <c r="D250" s="269">
        <v>21626</v>
      </c>
      <c r="E250" s="338" t="s">
        <v>1234</v>
      </c>
      <c r="F250" s="321" t="s">
        <v>1125</v>
      </c>
      <c r="G250" s="321" t="s">
        <v>468</v>
      </c>
      <c r="H250" s="321"/>
      <c r="I250" s="321">
        <v>0</v>
      </c>
      <c r="J250" s="270">
        <v>200</v>
      </c>
      <c r="K250" s="271">
        <v>188.8</v>
      </c>
      <c r="L250" s="263">
        <f t="shared" si="3"/>
        <v>37760</v>
      </c>
    </row>
    <row r="251" spans="1:12" ht="15.75" x14ac:dyDescent="0.25">
      <c r="A251" s="7"/>
      <c r="B251" s="320">
        <v>45231</v>
      </c>
      <c r="C251" s="320">
        <v>45231</v>
      </c>
      <c r="D251" s="269">
        <v>16200</v>
      </c>
      <c r="E251" s="338" t="s">
        <v>1235</v>
      </c>
      <c r="F251" s="321" t="s">
        <v>1125</v>
      </c>
      <c r="G251" s="321" t="s">
        <v>468</v>
      </c>
      <c r="H251" s="321"/>
      <c r="I251" s="321">
        <v>9</v>
      </c>
      <c r="J251" s="270">
        <v>122</v>
      </c>
      <c r="K251" s="272">
        <v>147.5</v>
      </c>
      <c r="L251" s="263">
        <f t="shared" si="3"/>
        <v>17995</v>
      </c>
    </row>
    <row r="252" spans="1:12" ht="15.75" x14ac:dyDescent="0.25">
      <c r="A252" s="7"/>
      <c r="B252" s="320">
        <v>45231</v>
      </c>
      <c r="C252" s="320">
        <v>45231</v>
      </c>
      <c r="D252" s="269">
        <v>19190</v>
      </c>
      <c r="E252" s="338" t="s">
        <v>1236</v>
      </c>
      <c r="F252" s="321" t="s">
        <v>1125</v>
      </c>
      <c r="G252" s="321" t="s">
        <v>468</v>
      </c>
      <c r="H252" s="321"/>
      <c r="I252" s="321">
        <v>0</v>
      </c>
      <c r="J252" s="270">
        <v>20</v>
      </c>
      <c r="K252" s="272">
        <v>147.5</v>
      </c>
      <c r="L252" s="263">
        <f t="shared" si="3"/>
        <v>2950</v>
      </c>
    </row>
    <row r="253" spans="1:12" ht="15.75" x14ac:dyDescent="0.25">
      <c r="A253" s="7"/>
      <c r="B253" s="320">
        <v>45231</v>
      </c>
      <c r="C253" s="320">
        <v>45231</v>
      </c>
      <c r="D253" s="269">
        <v>3768</v>
      </c>
      <c r="E253" s="338" t="s">
        <v>1237</v>
      </c>
      <c r="F253" s="321" t="s">
        <v>467</v>
      </c>
      <c r="G253" s="321" t="s">
        <v>468</v>
      </c>
      <c r="H253" s="321"/>
      <c r="I253" s="321">
        <v>1</v>
      </c>
      <c r="J253" s="270">
        <v>121</v>
      </c>
      <c r="K253" s="272">
        <f>420+75.6</f>
        <v>495.6</v>
      </c>
      <c r="L253" s="263">
        <f t="shared" si="3"/>
        <v>59967.600000000006</v>
      </c>
    </row>
    <row r="254" spans="1:12" ht="30" x14ac:dyDescent="0.25">
      <c r="A254" s="7"/>
      <c r="B254" s="320">
        <v>45231</v>
      </c>
      <c r="C254" s="320">
        <v>45231</v>
      </c>
      <c r="D254" s="269">
        <v>12568</v>
      </c>
      <c r="E254" s="338" t="s">
        <v>1238</v>
      </c>
      <c r="F254" s="321" t="s">
        <v>1125</v>
      </c>
      <c r="G254" s="321" t="s">
        <v>468</v>
      </c>
      <c r="H254" s="321"/>
      <c r="I254" s="321">
        <v>0</v>
      </c>
      <c r="J254" s="270">
        <v>88</v>
      </c>
      <c r="K254" s="271">
        <v>240</v>
      </c>
      <c r="L254" s="263">
        <f t="shared" si="3"/>
        <v>21120</v>
      </c>
    </row>
    <row r="255" spans="1:12" ht="30" x14ac:dyDescent="0.25">
      <c r="A255" s="7"/>
      <c r="B255" s="320">
        <v>45231</v>
      </c>
      <c r="C255" s="320">
        <v>45231</v>
      </c>
      <c r="D255" s="269">
        <v>124647</v>
      </c>
      <c r="E255" s="338" t="s">
        <v>1239</v>
      </c>
      <c r="F255" s="321" t="s">
        <v>1125</v>
      </c>
      <c r="G255" s="321" t="s">
        <v>468</v>
      </c>
      <c r="H255" s="321"/>
      <c r="I255" s="321">
        <v>0</v>
      </c>
      <c r="J255" s="270">
        <v>6</v>
      </c>
      <c r="K255" s="272">
        <v>120</v>
      </c>
      <c r="L255" s="263">
        <f t="shared" si="3"/>
        <v>720</v>
      </c>
    </row>
    <row r="256" spans="1:12" ht="15.75" x14ac:dyDescent="0.25">
      <c r="A256" s="7"/>
      <c r="B256" s="320">
        <v>45231</v>
      </c>
      <c r="C256" s="320">
        <v>45231</v>
      </c>
      <c r="D256" s="269">
        <v>4556</v>
      </c>
      <c r="E256" s="338" t="s">
        <v>1240</v>
      </c>
      <c r="F256" s="321" t="s">
        <v>985</v>
      </c>
      <c r="G256" s="321" t="s">
        <v>986</v>
      </c>
      <c r="H256" s="321"/>
      <c r="I256" s="321">
        <v>15</v>
      </c>
      <c r="J256" s="270">
        <v>52</v>
      </c>
      <c r="K256" s="273">
        <v>236</v>
      </c>
      <c r="L256" s="263">
        <f t="shared" si="3"/>
        <v>12272</v>
      </c>
    </row>
    <row r="257" spans="1:12" ht="15.75" x14ac:dyDescent="0.25">
      <c r="A257" s="7"/>
      <c r="B257" s="320">
        <v>45231</v>
      </c>
      <c r="C257" s="320">
        <v>45231</v>
      </c>
      <c r="D257" s="269">
        <v>7616</v>
      </c>
      <c r="E257" s="338" t="s">
        <v>1241</v>
      </c>
      <c r="F257" s="321" t="s">
        <v>1125</v>
      </c>
      <c r="G257" s="321" t="s">
        <v>468</v>
      </c>
      <c r="H257" s="321"/>
      <c r="I257" s="321">
        <v>0</v>
      </c>
      <c r="J257" s="270">
        <v>37</v>
      </c>
      <c r="K257" s="272">
        <v>100</v>
      </c>
      <c r="L257" s="263">
        <f t="shared" si="3"/>
        <v>3700</v>
      </c>
    </row>
    <row r="258" spans="1:12" ht="15.75" x14ac:dyDescent="0.25">
      <c r="A258" s="7"/>
      <c r="B258" s="320">
        <v>45231</v>
      </c>
      <c r="C258" s="320">
        <v>45231</v>
      </c>
      <c r="D258" s="269">
        <v>11680</v>
      </c>
      <c r="E258" s="338" t="s">
        <v>1242</v>
      </c>
      <c r="F258" s="321" t="s">
        <v>1061</v>
      </c>
      <c r="G258" s="321" t="s">
        <v>508</v>
      </c>
      <c r="H258" s="321"/>
      <c r="I258" s="321">
        <v>0</v>
      </c>
      <c r="J258" s="270">
        <v>18</v>
      </c>
      <c r="K258" s="271">
        <v>251.34</v>
      </c>
      <c r="L258" s="263">
        <f t="shared" si="3"/>
        <v>4524.12</v>
      </c>
    </row>
    <row r="259" spans="1:12" ht="15.75" x14ac:dyDescent="0.25">
      <c r="A259" s="7"/>
      <c r="B259" s="320">
        <v>45231</v>
      </c>
      <c r="C259" s="320">
        <v>45231</v>
      </c>
      <c r="D259" s="269">
        <v>11628</v>
      </c>
      <c r="E259" s="338" t="s">
        <v>1243</v>
      </c>
      <c r="F259" s="321" t="s">
        <v>1061</v>
      </c>
      <c r="G259" s="321" t="s">
        <v>468</v>
      </c>
      <c r="H259" s="321"/>
      <c r="I259" s="321">
        <v>0</v>
      </c>
      <c r="J259" s="270">
        <v>17</v>
      </c>
      <c r="K259" s="272">
        <v>500</v>
      </c>
      <c r="L259" s="263">
        <f t="shared" si="3"/>
        <v>8500</v>
      </c>
    </row>
    <row r="260" spans="1:12" ht="15.75" customHeight="1" x14ac:dyDescent="0.25">
      <c r="A260" s="7"/>
      <c r="B260" s="320">
        <v>45231</v>
      </c>
      <c r="C260" s="320">
        <v>45231</v>
      </c>
      <c r="D260" s="269">
        <v>3769</v>
      </c>
      <c r="E260" s="338" t="s">
        <v>1244</v>
      </c>
      <c r="F260" s="321" t="s">
        <v>1061</v>
      </c>
      <c r="G260" s="321" t="s">
        <v>508</v>
      </c>
      <c r="H260" s="321"/>
      <c r="I260" s="321">
        <v>41</v>
      </c>
      <c r="J260" s="270">
        <v>172</v>
      </c>
      <c r="K260" s="271">
        <f>23.93+4.3</f>
        <v>28.23</v>
      </c>
      <c r="L260" s="263">
        <f t="shared" si="3"/>
        <v>4855.5600000000004</v>
      </c>
    </row>
    <row r="261" spans="1:12" ht="18" customHeight="1" x14ac:dyDescent="0.25">
      <c r="A261" s="7"/>
      <c r="B261" s="320">
        <v>45231</v>
      </c>
      <c r="C261" s="320">
        <v>45231</v>
      </c>
      <c r="D261" s="269">
        <v>7795</v>
      </c>
      <c r="E261" s="338" t="s">
        <v>1245</v>
      </c>
      <c r="F261" s="321" t="s">
        <v>1061</v>
      </c>
      <c r="G261" s="321" t="s">
        <v>468</v>
      </c>
      <c r="H261" s="321"/>
      <c r="I261" s="321">
        <v>12</v>
      </c>
      <c r="J261" s="270">
        <v>2</v>
      </c>
      <c r="K261" s="271">
        <f>246.66+44.4</f>
        <v>291.06</v>
      </c>
      <c r="L261" s="263">
        <f t="shared" si="3"/>
        <v>582.12</v>
      </c>
    </row>
    <row r="262" spans="1:12" ht="15.75" x14ac:dyDescent="0.25">
      <c r="A262" s="7"/>
      <c r="B262" s="320">
        <v>45231</v>
      </c>
      <c r="C262" s="320">
        <v>45231</v>
      </c>
      <c r="D262" s="269">
        <v>20923</v>
      </c>
      <c r="E262" s="338" t="s">
        <v>1246</v>
      </c>
      <c r="F262" s="321" t="s">
        <v>467</v>
      </c>
      <c r="G262" s="321" t="s">
        <v>468</v>
      </c>
      <c r="H262" s="321"/>
      <c r="I262" s="321">
        <v>24</v>
      </c>
      <c r="J262" s="270">
        <v>150</v>
      </c>
      <c r="K262" s="271">
        <f>550+99</f>
        <v>649</v>
      </c>
      <c r="L262" s="263">
        <f t="shared" si="3"/>
        <v>97350</v>
      </c>
    </row>
    <row r="263" spans="1:12" ht="15.75" x14ac:dyDescent="0.25">
      <c r="A263" s="7"/>
      <c r="B263" s="320" t="s">
        <v>2008</v>
      </c>
      <c r="C263" s="320" t="s">
        <v>2008</v>
      </c>
      <c r="D263" s="269">
        <v>12622</v>
      </c>
      <c r="E263" s="338" t="s">
        <v>2011</v>
      </c>
      <c r="F263" s="321" t="s">
        <v>985</v>
      </c>
      <c r="G263" s="321" t="s">
        <v>986</v>
      </c>
      <c r="H263" s="321"/>
      <c r="I263" s="321">
        <v>24</v>
      </c>
      <c r="J263" s="270">
        <v>52</v>
      </c>
      <c r="K263" s="272">
        <v>91.45</v>
      </c>
      <c r="L263" s="263">
        <f t="shared" si="3"/>
        <v>4755.4000000000005</v>
      </c>
    </row>
    <row r="264" spans="1:12" ht="15.75" x14ac:dyDescent="0.25">
      <c r="A264" s="7"/>
      <c r="B264" s="320">
        <v>45231</v>
      </c>
      <c r="C264" s="320">
        <v>45231</v>
      </c>
      <c r="D264" s="269">
        <v>7496</v>
      </c>
      <c r="E264" s="338" t="s">
        <v>2012</v>
      </c>
      <c r="F264" s="321" t="s">
        <v>467</v>
      </c>
      <c r="G264" s="321" t="s">
        <v>468</v>
      </c>
      <c r="H264" s="321"/>
      <c r="I264" s="321">
        <v>0</v>
      </c>
      <c r="J264" s="270">
        <v>280</v>
      </c>
      <c r="K264" s="271">
        <f>145.27+26.25</f>
        <v>171.52</v>
      </c>
      <c r="L264" s="263">
        <f t="shared" si="3"/>
        <v>48025.600000000006</v>
      </c>
    </row>
    <row r="265" spans="1:12" ht="16.5" thickBo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253"/>
      <c r="L265" s="254"/>
    </row>
    <row r="266" spans="1:12" ht="16.5" thickBot="1" x14ac:dyDescent="0.3">
      <c r="A266" s="7"/>
      <c r="B266" s="316"/>
      <c r="C266" s="317"/>
      <c r="D266" s="317"/>
      <c r="E266" s="317"/>
      <c r="F266" s="317"/>
      <c r="G266" s="317"/>
      <c r="H266" s="317"/>
      <c r="I266" s="317"/>
      <c r="J266" s="317"/>
      <c r="K266" s="318"/>
      <c r="L266" s="322">
        <f>SUM(L11:L265)</f>
        <v>3809294.594000001</v>
      </c>
    </row>
    <row r="267" spans="1:12" ht="25.5" customHeight="1" x14ac:dyDescent="0.25">
      <c r="A267" s="7"/>
      <c r="B267" s="7"/>
      <c r="C267" s="7"/>
      <c r="D267" s="7"/>
      <c r="E267" s="7"/>
      <c r="F267" s="238"/>
      <c r="G267" s="7"/>
      <c r="H267" s="7"/>
      <c r="I267" s="7"/>
      <c r="J267" s="7"/>
      <c r="K267" s="7"/>
      <c r="L267" s="247"/>
    </row>
    <row r="268" spans="1:12" ht="15.75" x14ac:dyDescent="0.25">
      <c r="A268" s="7"/>
      <c r="B268" s="7"/>
      <c r="C268" s="7"/>
      <c r="D268" s="7"/>
      <c r="E268" s="7"/>
      <c r="F268" s="238"/>
      <c r="G268" s="7"/>
      <c r="H268" s="7"/>
      <c r="I268" s="7"/>
      <c r="J268" s="7"/>
      <c r="K268" s="7"/>
      <c r="L268" s="247"/>
    </row>
    <row r="269" spans="1:12" ht="15.75" x14ac:dyDescent="0.25">
      <c r="A269" s="7"/>
      <c r="B269" s="7"/>
      <c r="C269" s="7"/>
      <c r="D269" s="7"/>
      <c r="E269" s="7"/>
      <c r="F269" s="238"/>
      <c r="G269" s="7"/>
      <c r="H269" s="7"/>
      <c r="I269" s="7"/>
      <c r="J269" s="7"/>
      <c r="K269" s="7"/>
      <c r="L269" s="247"/>
    </row>
    <row r="270" spans="1:12" ht="15.75" x14ac:dyDescent="0.25">
      <c r="A270" s="7"/>
      <c r="B270" s="7"/>
      <c r="C270" s="7"/>
      <c r="D270" s="7"/>
      <c r="E270" s="7"/>
      <c r="F270" s="238"/>
      <c r="G270" s="7"/>
      <c r="H270" s="7"/>
      <c r="I270" s="7"/>
      <c r="J270" s="7"/>
      <c r="K270" s="7"/>
      <c r="L270" s="247"/>
    </row>
    <row r="271" spans="1:12" ht="26.25" customHeight="1" x14ac:dyDescent="0.25">
      <c r="A271" s="7"/>
      <c r="B271" s="7"/>
      <c r="C271" s="7"/>
      <c r="D271" s="7"/>
      <c r="E271" s="7"/>
      <c r="F271" s="238"/>
      <c r="G271" s="7"/>
      <c r="H271" s="7"/>
      <c r="I271" s="7"/>
      <c r="J271" s="7"/>
      <c r="K271" s="7"/>
      <c r="L271" s="247"/>
    </row>
    <row r="272" spans="1:12" ht="22.5" customHeight="1" x14ac:dyDescent="0.25">
      <c r="A272" s="7"/>
      <c r="B272" s="7"/>
      <c r="C272" s="7"/>
      <c r="D272" s="7"/>
      <c r="E272" s="7"/>
      <c r="F272" s="238"/>
      <c r="G272" s="7"/>
      <c r="H272" s="7"/>
      <c r="I272" s="7"/>
      <c r="J272" s="7"/>
      <c r="K272" s="7"/>
      <c r="L272" s="247"/>
    </row>
    <row r="273" spans="1:12" ht="25.5" customHeight="1" x14ac:dyDescent="0.25">
      <c r="A273" s="7"/>
      <c r="B273" s="7"/>
      <c r="C273" s="7"/>
      <c r="D273" s="7"/>
      <c r="E273" s="7"/>
      <c r="F273" s="238"/>
      <c r="G273" s="7"/>
      <c r="H273" s="7"/>
      <c r="I273" s="7"/>
      <c r="J273" s="7"/>
      <c r="K273" s="7"/>
      <c r="L273" s="247"/>
    </row>
    <row r="274" spans="1:12" x14ac:dyDescent="0.25">
      <c r="A274" s="7"/>
      <c r="B274" s="436" t="s">
        <v>2405</v>
      </c>
      <c r="C274" s="436"/>
      <c r="D274" s="436"/>
      <c r="E274" s="436" t="s">
        <v>981</v>
      </c>
      <c r="F274" s="436"/>
      <c r="G274" s="436"/>
      <c r="H274" s="290"/>
      <c r="I274" s="290"/>
      <c r="J274" s="436" t="s">
        <v>2007</v>
      </c>
      <c r="K274" s="436"/>
      <c r="L274" s="436"/>
    </row>
    <row r="275" spans="1:12" x14ac:dyDescent="0.25">
      <c r="A275" s="7"/>
      <c r="B275" s="437" t="s">
        <v>1247</v>
      </c>
      <c r="C275" s="437"/>
      <c r="D275" s="437"/>
      <c r="E275" s="437" t="s">
        <v>982</v>
      </c>
      <c r="F275" s="437"/>
      <c r="G275" s="437"/>
      <c r="H275" s="291"/>
      <c r="I275" s="291"/>
      <c r="J275" s="437" t="s">
        <v>147</v>
      </c>
      <c r="K275" s="437"/>
      <c r="L275" s="437"/>
    </row>
    <row r="276" spans="1:12" ht="15.75" x14ac:dyDescent="0.25">
      <c r="A276" s="7"/>
      <c r="B276" s="7"/>
      <c r="C276" s="7"/>
      <c r="D276" s="7"/>
      <c r="E276" s="443"/>
      <c r="F276" s="443"/>
      <c r="G276" s="7"/>
      <c r="H276" s="7"/>
      <c r="I276" s="7"/>
      <c r="J276" s="7"/>
      <c r="K276" s="7"/>
      <c r="L276" s="247"/>
    </row>
    <row r="277" spans="1:12" ht="15.75" x14ac:dyDescent="0.25">
      <c r="A277" s="7"/>
      <c r="B277" s="7"/>
      <c r="C277" s="7"/>
      <c r="D277" s="7"/>
      <c r="E277" s="7"/>
      <c r="F277" s="238"/>
      <c r="G277" s="7"/>
      <c r="H277" s="7"/>
      <c r="I277" s="7"/>
      <c r="J277" s="7"/>
      <c r="K277" s="7"/>
      <c r="L277" s="247"/>
    </row>
    <row r="278" spans="1:12" ht="15.75" x14ac:dyDescent="0.25">
      <c r="A278" s="7"/>
      <c r="B278" s="7"/>
      <c r="C278" s="7"/>
      <c r="D278" s="7"/>
      <c r="E278" s="7"/>
      <c r="F278" s="238"/>
      <c r="G278" s="7"/>
      <c r="H278" s="7"/>
      <c r="I278" s="7"/>
      <c r="J278" s="247"/>
    </row>
    <row r="279" spans="1:12" x14ac:dyDescent="0.25">
      <c r="A279" s="7"/>
      <c r="B279" s="436" t="s">
        <v>7</v>
      </c>
      <c r="C279" s="436"/>
      <c r="D279" s="436"/>
      <c r="E279" s="436" t="s">
        <v>7</v>
      </c>
      <c r="F279" s="436"/>
      <c r="G279" s="436"/>
      <c r="H279" s="436" t="s">
        <v>7</v>
      </c>
      <c r="I279" s="436"/>
      <c r="J279" s="436"/>
    </row>
    <row r="280" spans="1:12" x14ac:dyDescent="0.25">
      <c r="A280" s="7"/>
      <c r="B280" s="437" t="s">
        <v>7</v>
      </c>
      <c r="C280" s="437"/>
      <c r="D280" s="437"/>
      <c r="E280" s="437" t="s">
        <v>7</v>
      </c>
      <c r="F280" s="437"/>
      <c r="G280" s="437"/>
      <c r="H280" s="437" t="s">
        <v>7</v>
      </c>
      <c r="I280" s="437"/>
      <c r="J280" s="437"/>
    </row>
    <row r="281" spans="1:12" ht="15.75" x14ac:dyDescent="0.25">
      <c r="A281" s="7"/>
      <c r="B281" s="7"/>
      <c r="C281" s="7"/>
      <c r="D281" s="7"/>
      <c r="E281" s="443"/>
      <c r="F281" s="443"/>
      <c r="G281" s="7"/>
      <c r="H281" s="7"/>
      <c r="I281" s="7"/>
      <c r="J281" s="247"/>
    </row>
    <row r="282" spans="1:12" ht="15.75" x14ac:dyDescent="0.25">
      <c r="A282" s="7"/>
      <c r="B282" s="7"/>
      <c r="C282" s="7"/>
      <c r="D282" s="7"/>
      <c r="E282" s="7"/>
      <c r="F282" s="238"/>
      <c r="G282" s="7"/>
      <c r="H282" s="7"/>
      <c r="I282" s="7"/>
      <c r="J282" s="247"/>
    </row>
    <row r="283" spans="1:12" ht="15.75" x14ac:dyDescent="0.25">
      <c r="A283" s="7"/>
      <c r="B283" s="7"/>
      <c r="C283" s="7"/>
      <c r="D283" s="7"/>
      <c r="E283" s="7"/>
      <c r="F283" s="238"/>
      <c r="G283" s="7"/>
      <c r="H283" s="7"/>
      <c r="I283" s="7"/>
      <c r="J283" s="247"/>
    </row>
    <row r="284" spans="1:12" ht="15.75" x14ac:dyDescent="0.25">
      <c r="A284" s="7"/>
      <c r="B284" s="7"/>
      <c r="C284" s="7"/>
      <c r="D284" s="7"/>
      <c r="E284" s="7"/>
      <c r="F284" s="238"/>
      <c r="G284" s="7"/>
      <c r="H284" s="7"/>
      <c r="I284" s="7"/>
      <c r="J284" s="247"/>
    </row>
    <row r="285" spans="1:12" ht="15.75" x14ac:dyDescent="0.25">
      <c r="A285" s="7"/>
      <c r="B285" s="7"/>
      <c r="C285" s="7"/>
      <c r="D285" s="7"/>
      <c r="E285" s="7"/>
      <c r="F285" s="238"/>
      <c r="G285" s="7"/>
      <c r="H285" s="7"/>
      <c r="I285" s="7"/>
      <c r="J285" s="247"/>
    </row>
    <row r="286" spans="1:12" ht="15.75" x14ac:dyDescent="0.25">
      <c r="A286" s="7"/>
      <c r="B286" s="7"/>
      <c r="C286" s="7"/>
      <c r="D286" s="7"/>
      <c r="E286" s="7"/>
      <c r="F286" s="238"/>
      <c r="G286" s="7"/>
      <c r="H286" s="7"/>
      <c r="I286" s="7"/>
      <c r="J286" s="247"/>
    </row>
    <row r="287" spans="1:12" ht="15.75" x14ac:dyDescent="0.25">
      <c r="A287" s="7"/>
      <c r="B287" s="7"/>
      <c r="C287" s="7"/>
      <c r="D287" s="7"/>
      <c r="E287" s="7"/>
      <c r="F287" s="238"/>
      <c r="G287" s="7"/>
      <c r="H287" s="7"/>
      <c r="I287" s="7"/>
      <c r="J287" s="247"/>
    </row>
    <row r="288" spans="1:12" ht="15.75" x14ac:dyDescent="0.25">
      <c r="A288" s="7"/>
      <c r="B288" s="7"/>
      <c r="C288" s="7"/>
      <c r="D288" s="7"/>
      <c r="E288" s="7"/>
      <c r="F288" s="238"/>
      <c r="G288" s="7"/>
      <c r="H288" s="7"/>
      <c r="I288" s="7"/>
      <c r="J288" s="247"/>
    </row>
    <row r="289" spans="1:10" ht="15.75" x14ac:dyDescent="0.25">
      <c r="A289" s="7"/>
      <c r="B289" s="7"/>
      <c r="C289" s="7"/>
      <c r="D289" s="7"/>
      <c r="E289" s="7"/>
      <c r="F289" s="238"/>
      <c r="G289" s="7"/>
      <c r="H289" s="7"/>
      <c r="I289" s="7"/>
      <c r="J289" s="247"/>
    </row>
    <row r="290" spans="1:10" ht="15.75" x14ac:dyDescent="0.25">
      <c r="A290" s="7"/>
      <c r="B290" s="7"/>
      <c r="C290" s="7"/>
      <c r="D290" s="7"/>
      <c r="E290" s="7"/>
      <c r="F290" s="238"/>
      <c r="G290" s="7"/>
      <c r="H290" s="7"/>
      <c r="I290" s="7"/>
      <c r="J290" s="247"/>
    </row>
    <row r="291" spans="1:10" ht="15.75" x14ac:dyDescent="0.25">
      <c r="A291" s="7"/>
      <c r="B291" s="7"/>
      <c r="C291" s="7"/>
      <c r="D291" s="7"/>
      <c r="E291" s="7"/>
      <c r="F291" s="238"/>
      <c r="G291" s="7"/>
      <c r="H291" s="7"/>
      <c r="I291" s="7"/>
      <c r="J291" s="247"/>
    </row>
  </sheetData>
  <mergeCells count="16">
    <mergeCell ref="F6:L7"/>
    <mergeCell ref="F8:L8"/>
    <mergeCell ref="B274:D274"/>
    <mergeCell ref="E274:G274"/>
    <mergeCell ref="J274:L274"/>
    <mergeCell ref="J275:L275"/>
    <mergeCell ref="E276:F276"/>
    <mergeCell ref="E281:F281"/>
    <mergeCell ref="B279:D279"/>
    <mergeCell ref="E279:G279"/>
    <mergeCell ref="H279:J279"/>
    <mergeCell ref="B280:D280"/>
    <mergeCell ref="E280:G280"/>
    <mergeCell ref="H280:J280"/>
    <mergeCell ref="B275:D275"/>
    <mergeCell ref="E275:G275"/>
  </mergeCells>
  <conditionalFormatting sqref="D176:D196 D11:D48">
    <cfRule type="duplicateValues" dxfId="3" priority="4"/>
  </conditionalFormatting>
  <conditionalFormatting sqref="D255:D261">
    <cfRule type="duplicateValues" dxfId="2" priority="3"/>
  </conditionalFormatting>
  <conditionalFormatting sqref="D262:D263">
    <cfRule type="duplicateValues" dxfId="1" priority="2"/>
  </conditionalFormatting>
  <conditionalFormatting sqref="D264">
    <cfRule type="duplicateValues" dxfId="0" priority="1"/>
  </conditionalFormatting>
  <pageMargins left="0.2" right="0.2" top="0.5" bottom="0.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BALANCE GENERAL Y SUS NOTAS</vt:lpstr>
      <vt:lpstr>ESTADO DE REND.</vt:lpstr>
      <vt:lpstr>EST. CAMBIO</vt:lpstr>
      <vt:lpstr>EST. FLUJO</vt:lpstr>
      <vt:lpstr>EST. COMP.</vt:lpstr>
      <vt:lpstr>Notas E. F. 1-6</vt:lpstr>
      <vt:lpstr>NOTAS ojo 7-21</vt:lpstr>
      <vt:lpstr>Inv. Medicamentos</vt:lpstr>
      <vt:lpstr>Inv. Materiales Gastables</vt:lpstr>
      <vt:lpstr>Nota PPE</vt:lpstr>
      <vt:lpstr>CUENTAS  POR PAGAR</vt:lpstr>
      <vt:lpstr>NOTAS (2)</vt:lpstr>
      <vt:lpstr>RESUMEN INGRESOS Y EGRESOS </vt:lpstr>
      <vt:lpstr>Hoja1</vt:lpstr>
      <vt:lpstr>Cargos  Bancario</vt:lpstr>
      <vt:lpstr>'BALANCE GENERAL Y SUS NOTAS'!Área_de_impresión</vt:lpstr>
      <vt:lpstr>'CUENTAS  POR PAGAR'!Área_de_impresión</vt:lpstr>
      <vt:lpstr>'EST. CAMBIO'!Área_de_impresión</vt:lpstr>
      <vt:lpstr>'EST. FLUJO'!Área_de_impresión</vt:lpstr>
      <vt:lpstr>'ESTADO DE REND.'!Área_de_impresión</vt:lpstr>
      <vt:lpstr>Hoja1!Área_de_impresión</vt:lpstr>
      <vt:lpstr>'Inv. Materiales Gastables'!Área_de_impresión</vt:lpstr>
      <vt:lpstr>'Notas E. F. 1-6'!Área_de_impresión</vt:lpstr>
      <vt:lpstr>'NOTAS ojo 7-21'!Área_de_impresión</vt:lpstr>
      <vt:lpstr>'BALANCE GENERAL Y SUS NOTAS'!Títulos_a_imprimir</vt:lpstr>
      <vt:lpstr>'NOTAS (2)'!Títulos_a_imprimir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2024-02-14T13:32:00Z</cp:lastPrinted>
  <dcterms:created xsi:type="dcterms:W3CDTF">2018-05-02T13:48:18Z</dcterms:created>
  <dcterms:modified xsi:type="dcterms:W3CDTF">2024-02-14T13:52:02Z</dcterms:modified>
  <cp:category/>
  <cp:contentStatus/>
</cp:coreProperties>
</file>