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6465" tabRatio="917" activeTab="4"/>
  </bookViews>
  <sheets>
    <sheet name="Notas 7 - 21" sheetId="36" r:id="rId1"/>
    <sheet name="Hoja2" sheetId="37" r:id="rId2"/>
    <sheet name="Notas 1 - 6" sheetId="38" r:id="rId3"/>
    <sheet name="P, P Y E" sheetId="35" r:id="rId4"/>
    <sheet name="BALANCE GENERAL" sheetId="29" r:id="rId5"/>
    <sheet name="EST. CAMBIO" sheetId="32" r:id="rId6"/>
    <sheet name="NOTAS (2)" sheetId="31" r:id="rId7"/>
    <sheet name="EST. FLUJO" sheetId="33" r:id="rId8"/>
    <sheet name="ESTADO DE REND." sheetId="30" r:id="rId9"/>
    <sheet name="EST. COMP." sheetId="34" r:id="rId10"/>
  </sheets>
  <definedNames>
    <definedName name="_xlnm.Print_Area" localSheetId="1">Hoja2!$B$9:$G$42</definedName>
    <definedName name="_xlnm.Print_Area" localSheetId="6">'NOTAS (2)'!$C$2:$U$243</definedName>
    <definedName name="_xlnm.Print_Titles" localSheetId="4">'BALANCE GENERAL'!$1:$11</definedName>
    <definedName name="_xlnm.Print_Titles" localSheetId="6">'NOTAS (2)'!$3:$3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2" l="1"/>
  <c r="H203" i="36"/>
  <c r="I203" i="36" s="1"/>
  <c r="H202" i="36"/>
  <c r="I202" i="36" s="1"/>
  <c r="H199" i="36"/>
  <c r="I199" i="36" s="1"/>
  <c r="G204" i="36"/>
  <c r="F202" i="36"/>
  <c r="F201" i="36"/>
  <c r="H201" i="36" s="1"/>
  <c r="I201" i="36" s="1"/>
  <c r="F200" i="36"/>
  <c r="H200" i="36" s="1"/>
  <c r="I200" i="36" s="1"/>
  <c r="H184" i="36"/>
  <c r="I184" i="36" s="1"/>
  <c r="H183" i="36"/>
  <c r="I183" i="36" s="1"/>
  <c r="G186" i="36"/>
  <c r="F186" i="36"/>
  <c r="H186" i="36" s="1"/>
  <c r="I186" i="36" s="1"/>
  <c r="F185" i="36"/>
  <c r="H185" i="36" s="1"/>
  <c r="I185" i="36" s="1"/>
  <c r="F184" i="36"/>
  <c r="I110" i="36"/>
  <c r="J110" i="36" s="1"/>
  <c r="I109" i="36"/>
  <c r="J109" i="36" s="1"/>
  <c r="J127" i="36"/>
  <c r="J126" i="36"/>
  <c r="J125" i="36"/>
  <c r="I128" i="36"/>
  <c r="J128" i="36" s="1"/>
  <c r="I127" i="36"/>
  <c r="I126" i="36"/>
  <c r="I125" i="36"/>
  <c r="H129" i="36"/>
  <c r="H111" i="36"/>
  <c r="G108" i="36"/>
  <c r="I108" i="36" s="1"/>
  <c r="J108" i="36" s="1"/>
  <c r="J91" i="36"/>
  <c r="I95" i="36"/>
  <c r="J95" i="36" s="1"/>
  <c r="I94" i="36"/>
  <c r="J94" i="36" s="1"/>
  <c r="I93" i="36"/>
  <c r="J93" i="36" s="1"/>
  <c r="I92" i="36"/>
  <c r="J92" i="36" s="1"/>
  <c r="I91" i="36"/>
  <c r="I90" i="36"/>
  <c r="J90" i="36" s="1"/>
  <c r="I89" i="36"/>
  <c r="J89" i="36" s="1"/>
  <c r="H96" i="36"/>
  <c r="J72" i="36"/>
  <c r="J69" i="36"/>
  <c r="J64" i="36"/>
  <c r="J61" i="36"/>
  <c r="J56" i="36"/>
  <c r="J53" i="36"/>
  <c r="I72" i="36"/>
  <c r="I71" i="36"/>
  <c r="J71" i="36" s="1"/>
  <c r="I70" i="36"/>
  <c r="J70" i="36" s="1"/>
  <c r="I69" i="36"/>
  <c r="I68" i="36"/>
  <c r="J68" i="36" s="1"/>
  <c r="I67" i="36"/>
  <c r="J67" i="36" s="1"/>
  <c r="I66" i="36"/>
  <c r="J66" i="36" s="1"/>
  <c r="I65" i="36"/>
  <c r="J65" i="36" s="1"/>
  <c r="I64" i="36"/>
  <c r="I63" i="36"/>
  <c r="J63" i="36" s="1"/>
  <c r="I62" i="36"/>
  <c r="J62" i="36" s="1"/>
  <c r="I61" i="36"/>
  <c r="I60" i="36"/>
  <c r="J60" i="36" s="1"/>
  <c r="I59" i="36"/>
  <c r="J59" i="36" s="1"/>
  <c r="I58" i="36"/>
  <c r="J58" i="36" s="1"/>
  <c r="I57" i="36"/>
  <c r="J57" i="36" s="1"/>
  <c r="I56" i="36"/>
  <c r="I55" i="36"/>
  <c r="J55" i="36" s="1"/>
  <c r="I54" i="36"/>
  <c r="J54" i="36" s="1"/>
  <c r="I53" i="36"/>
  <c r="I52" i="36"/>
  <c r="J52" i="36" s="1"/>
  <c r="I51" i="36"/>
  <c r="J51" i="36" s="1"/>
  <c r="H73" i="36"/>
  <c r="H39" i="36"/>
  <c r="I39" i="36" s="1"/>
  <c r="J39" i="36" s="1"/>
  <c r="I38" i="36"/>
  <c r="J38" i="36" s="1"/>
  <c r="I37" i="36"/>
  <c r="J37" i="36" s="1"/>
  <c r="I36" i="36"/>
  <c r="J36" i="36" s="1"/>
  <c r="J19" i="36"/>
  <c r="I23" i="36"/>
  <c r="J23" i="36" s="1"/>
  <c r="I22" i="36"/>
  <c r="I21" i="36"/>
  <c r="J21" i="36" s="1"/>
  <c r="I20" i="36"/>
  <c r="J20" i="36" s="1"/>
  <c r="I19" i="36"/>
  <c r="H24" i="36"/>
  <c r="I24" i="36" s="1"/>
  <c r="J24" i="36" s="1"/>
  <c r="R68" i="31"/>
  <c r="J333" i="38"/>
  <c r="J332" i="38"/>
  <c r="J331" i="38"/>
  <c r="I334" i="38"/>
  <c r="J334" i="38" s="1"/>
  <c r="I333" i="38"/>
  <c r="I332" i="38"/>
  <c r="I331" i="38"/>
  <c r="I335" i="38"/>
  <c r="J335" i="38" s="1"/>
  <c r="J330" i="38"/>
  <c r="I330" i="38"/>
  <c r="H335" i="38"/>
  <c r="G660" i="38"/>
  <c r="I660" i="38" s="1"/>
  <c r="H695" i="38"/>
  <c r="I695" i="38" s="1"/>
  <c r="J695" i="38" s="1"/>
  <c r="G695" i="38"/>
  <c r="I694" i="38"/>
  <c r="J694" i="38" s="1"/>
  <c r="J693" i="38"/>
  <c r="I693" i="38"/>
  <c r="J692" i="38"/>
  <c r="I692" i="38"/>
  <c r="J691" i="38"/>
  <c r="I691" i="38"/>
  <c r="I690" i="38"/>
  <c r="J690" i="38" s="1"/>
  <c r="J689" i="38"/>
  <c r="I689" i="38"/>
  <c r="J688" i="38"/>
  <c r="I688" i="38"/>
  <c r="J687" i="38"/>
  <c r="I687" i="38"/>
  <c r="H676" i="38"/>
  <c r="G676" i="38"/>
  <c r="J675" i="38"/>
  <c r="I675" i="38"/>
  <c r="J674" i="38"/>
  <c r="I674" i="38"/>
  <c r="J673" i="38"/>
  <c r="I673" i="38"/>
  <c r="I672" i="38"/>
  <c r="J672" i="38" s="1"/>
  <c r="J671" i="38"/>
  <c r="I671" i="38"/>
  <c r="H660" i="38"/>
  <c r="I659" i="38"/>
  <c r="J659" i="38" s="1"/>
  <c r="I658" i="38"/>
  <c r="J658" i="38" s="1"/>
  <c r="I657" i="38"/>
  <c r="J657" i="38" s="1"/>
  <c r="J656" i="38"/>
  <c r="I656" i="38"/>
  <c r="J655" i="38"/>
  <c r="I655" i="38"/>
  <c r="J654" i="38"/>
  <c r="I654" i="38"/>
  <c r="I653" i="38"/>
  <c r="J653" i="38" s="1"/>
  <c r="J652" i="38"/>
  <c r="I652" i="38"/>
  <c r="J651" i="38"/>
  <c r="I651" i="38"/>
  <c r="J650" i="38"/>
  <c r="I650" i="38"/>
  <c r="H639" i="38"/>
  <c r="G639" i="38"/>
  <c r="J638" i="38"/>
  <c r="I638" i="38"/>
  <c r="J637" i="38"/>
  <c r="I637" i="38"/>
  <c r="H626" i="38"/>
  <c r="G626" i="38"/>
  <c r="I625" i="38"/>
  <c r="J625" i="38" s="1"/>
  <c r="J624" i="38"/>
  <c r="I624" i="38"/>
  <c r="J623" i="38"/>
  <c r="I623" i="38"/>
  <c r="H613" i="38"/>
  <c r="G613" i="38"/>
  <c r="I612" i="38"/>
  <c r="J612" i="38" s="1"/>
  <c r="J611" i="38"/>
  <c r="I611" i="38"/>
  <c r="J610" i="38"/>
  <c r="I610" i="38"/>
  <c r="H601" i="38"/>
  <c r="G601" i="38"/>
  <c r="I600" i="38"/>
  <c r="J600" i="38" s="1"/>
  <c r="J599" i="38"/>
  <c r="I599" i="38"/>
  <c r="J598" i="38"/>
  <c r="H588" i="38"/>
  <c r="G588" i="38"/>
  <c r="I588" i="38" s="1"/>
  <c r="J588" i="38" s="1"/>
  <c r="I587" i="38"/>
  <c r="J587" i="38" s="1"/>
  <c r="I586" i="38"/>
  <c r="J586" i="38" s="1"/>
  <c r="I576" i="38"/>
  <c r="J576" i="38" s="1"/>
  <c r="H576" i="38"/>
  <c r="G576" i="38"/>
  <c r="I575" i="38"/>
  <c r="J575" i="38" s="1"/>
  <c r="I574" i="38"/>
  <c r="J574" i="38" s="1"/>
  <c r="I573" i="38"/>
  <c r="J573" i="38" s="1"/>
  <c r="I572" i="38"/>
  <c r="J572" i="38" s="1"/>
  <c r="I571" i="38"/>
  <c r="J571" i="38" s="1"/>
  <c r="I570" i="38"/>
  <c r="J570" i="38" s="1"/>
  <c r="I559" i="38"/>
  <c r="J559" i="38" s="1"/>
  <c r="H559" i="38"/>
  <c r="G559" i="38"/>
  <c r="I558" i="38"/>
  <c r="J558" i="38" s="1"/>
  <c r="H547" i="38"/>
  <c r="G547" i="38"/>
  <c r="I546" i="38"/>
  <c r="J546" i="38" s="1"/>
  <c r="I545" i="38"/>
  <c r="J545" i="38" s="1"/>
  <c r="J544" i="38"/>
  <c r="I544" i="38"/>
  <c r="I543" i="38"/>
  <c r="J543" i="38" s="1"/>
  <c r="I542" i="38"/>
  <c r="J542" i="38" s="1"/>
  <c r="I541" i="38"/>
  <c r="J541" i="38" s="1"/>
  <c r="H528" i="38"/>
  <c r="G528" i="38"/>
  <c r="J527" i="38"/>
  <c r="I527" i="38"/>
  <c r="I526" i="38"/>
  <c r="J526" i="38" s="1"/>
  <c r="I525" i="38"/>
  <c r="J525" i="38" s="1"/>
  <c r="H515" i="38"/>
  <c r="I514" i="38"/>
  <c r="J514" i="38" s="1"/>
  <c r="I513" i="38"/>
  <c r="J513" i="38" s="1"/>
  <c r="G513" i="38"/>
  <c r="G512" i="38"/>
  <c r="I512" i="38" s="1"/>
  <c r="J512" i="38" s="1"/>
  <c r="G511" i="38"/>
  <c r="G515" i="38" s="1"/>
  <c r="I515" i="38" s="1"/>
  <c r="J515" i="38" s="1"/>
  <c r="J510" i="38"/>
  <c r="I510" i="38"/>
  <c r="H497" i="38"/>
  <c r="I496" i="38"/>
  <c r="J496" i="38" s="1"/>
  <c r="G496" i="38"/>
  <c r="G495" i="38"/>
  <c r="G497" i="38" s="1"/>
  <c r="J494" i="38"/>
  <c r="I494" i="38"/>
  <c r="H472" i="38"/>
  <c r="F472" i="38"/>
  <c r="D472" i="38"/>
  <c r="I471" i="38"/>
  <c r="I470" i="38"/>
  <c r="I469" i="38"/>
  <c r="H467" i="38"/>
  <c r="H473" i="38" s="1"/>
  <c r="F467" i="38"/>
  <c r="D467" i="38"/>
  <c r="I466" i="38"/>
  <c r="I465" i="38"/>
  <c r="I464" i="38"/>
  <c r="H458" i="38"/>
  <c r="F458" i="38"/>
  <c r="F459" i="38" s="1"/>
  <c r="D458" i="38"/>
  <c r="I457" i="38"/>
  <c r="I456" i="38"/>
  <c r="I455" i="38"/>
  <c r="H453" i="38"/>
  <c r="H459" i="38" s="1"/>
  <c r="F453" i="38"/>
  <c r="D453" i="38"/>
  <c r="I452" i="38"/>
  <c r="I451" i="38"/>
  <c r="I440" i="38"/>
  <c r="G440" i="38"/>
  <c r="J439" i="38"/>
  <c r="K439" i="38" s="1"/>
  <c r="J438" i="38"/>
  <c r="K438" i="38" s="1"/>
  <c r="J437" i="38"/>
  <c r="K437" i="38" s="1"/>
  <c r="J436" i="38"/>
  <c r="K436" i="38" s="1"/>
  <c r="I422" i="38"/>
  <c r="J421" i="38"/>
  <c r="K420" i="38"/>
  <c r="J420" i="38"/>
  <c r="G419" i="38"/>
  <c r="J419" i="38" s="1"/>
  <c r="K419" i="38" s="1"/>
  <c r="I407" i="38"/>
  <c r="G407" i="38"/>
  <c r="K406" i="38"/>
  <c r="J406" i="38"/>
  <c r="J405" i="38"/>
  <c r="K405" i="38" s="1"/>
  <c r="K404" i="38"/>
  <c r="J404" i="38"/>
  <c r="J403" i="38"/>
  <c r="K403" i="38" s="1"/>
  <c r="J402" i="38"/>
  <c r="K402" i="38" s="1"/>
  <c r="J401" i="38"/>
  <c r="K401" i="38" s="1"/>
  <c r="J400" i="38"/>
  <c r="K400" i="38" s="1"/>
  <c r="I384" i="38"/>
  <c r="J384" i="38" s="1"/>
  <c r="K384" i="38" s="1"/>
  <c r="G384" i="38"/>
  <c r="J383" i="38"/>
  <c r="K383" i="38" s="1"/>
  <c r="J382" i="38"/>
  <c r="K382" i="38" s="1"/>
  <c r="J381" i="38"/>
  <c r="K381" i="38" s="1"/>
  <c r="K380" i="38"/>
  <c r="J380" i="38"/>
  <c r="J379" i="38"/>
  <c r="K379" i="38" s="1"/>
  <c r="J378" i="38"/>
  <c r="K378" i="38" s="1"/>
  <c r="J377" i="38"/>
  <c r="K377" i="38" s="1"/>
  <c r="J376" i="38"/>
  <c r="K376" i="38" s="1"/>
  <c r="J375" i="38"/>
  <c r="K375" i="38" s="1"/>
  <c r="K374" i="38"/>
  <c r="J374" i="38"/>
  <c r="J373" i="38"/>
  <c r="K373" i="38" s="1"/>
  <c r="J372" i="38"/>
  <c r="K372" i="38" s="1"/>
  <c r="J371" i="38"/>
  <c r="K371" i="38" s="1"/>
  <c r="J370" i="38"/>
  <c r="K370" i="38" s="1"/>
  <c r="J369" i="38"/>
  <c r="K369" i="38" s="1"/>
  <c r="K368" i="38"/>
  <c r="J368" i="38"/>
  <c r="J367" i="38"/>
  <c r="K367" i="38" s="1"/>
  <c r="J366" i="38"/>
  <c r="K366" i="38" s="1"/>
  <c r="J365" i="38"/>
  <c r="K365" i="38" s="1"/>
  <c r="J364" i="38"/>
  <c r="K364" i="38" s="1"/>
  <c r="J363" i="38"/>
  <c r="K363" i="38" s="1"/>
  <c r="J362" i="38"/>
  <c r="K362" i="38" s="1"/>
  <c r="J350" i="38"/>
  <c r="K350" i="38" s="1"/>
  <c r="I350" i="38"/>
  <c r="G350" i="38"/>
  <c r="J349" i="38"/>
  <c r="K349" i="38" s="1"/>
  <c r="J348" i="38"/>
  <c r="K348" i="38" s="1"/>
  <c r="J347" i="38"/>
  <c r="K347" i="38" s="1"/>
  <c r="G335" i="38"/>
  <c r="I453" i="38" l="1"/>
  <c r="I497" i="38"/>
  <c r="J497" i="38" s="1"/>
  <c r="I676" i="38"/>
  <c r="J676" i="38" s="1"/>
  <c r="I613" i="38"/>
  <c r="J613" i="38" s="1"/>
  <c r="I458" i="38"/>
  <c r="J440" i="38"/>
  <c r="K440" i="38" s="1"/>
  <c r="F204" i="36"/>
  <c r="H204" i="36" s="1"/>
  <c r="I204" i="36" s="1"/>
  <c r="I639" i="38"/>
  <c r="J639" i="38" s="1"/>
  <c r="J407" i="38"/>
  <c r="K407" i="38" s="1"/>
  <c r="I528" i="38"/>
  <c r="J528" i="38" s="1"/>
  <c r="I601" i="38"/>
  <c r="J601" i="38" s="1"/>
  <c r="I467" i="38"/>
  <c r="F473" i="38"/>
  <c r="I472" i="38"/>
  <c r="I547" i="38"/>
  <c r="J547" i="38" s="1"/>
  <c r="D459" i="38"/>
  <c r="D473" i="38"/>
  <c r="I495" i="38"/>
  <c r="J495" i="38" s="1"/>
  <c r="I511" i="38"/>
  <c r="J511" i="38" s="1"/>
  <c r="I626" i="38"/>
  <c r="J626" i="38" s="1"/>
  <c r="J660" i="38"/>
  <c r="G422" i="38"/>
  <c r="J422" i="38" s="1"/>
  <c r="K422" i="38" s="1"/>
  <c r="J383" i="36"/>
  <c r="J382" i="36"/>
  <c r="J378" i="36"/>
  <c r="I383" i="36"/>
  <c r="I382" i="36"/>
  <c r="I381" i="36"/>
  <c r="J381" i="36" s="1"/>
  <c r="I380" i="36"/>
  <c r="J380" i="36" s="1"/>
  <c r="I379" i="36"/>
  <c r="J379" i="36" s="1"/>
  <c r="I378" i="36"/>
  <c r="I377" i="36"/>
  <c r="J377" i="36" s="1"/>
  <c r="I376" i="36"/>
  <c r="J376" i="36" s="1"/>
  <c r="H384" i="36"/>
  <c r="G384" i="36"/>
  <c r="I384" i="36" s="1"/>
  <c r="J384" i="36" s="1"/>
  <c r="J364" i="36"/>
  <c r="J360" i="36"/>
  <c r="I364" i="36"/>
  <c r="I363" i="36"/>
  <c r="J363" i="36" s="1"/>
  <c r="I362" i="36"/>
  <c r="J362" i="36" s="1"/>
  <c r="I361" i="36"/>
  <c r="J361" i="36" s="1"/>
  <c r="I360" i="36"/>
  <c r="H365" i="36"/>
  <c r="G365" i="36"/>
  <c r="I365" i="36" s="1"/>
  <c r="J365" i="36" s="1"/>
  <c r="I473" i="38" l="1"/>
  <c r="I459" i="38"/>
  <c r="H349" i="36"/>
  <c r="I348" i="36"/>
  <c r="J348" i="36" s="1"/>
  <c r="I347" i="36"/>
  <c r="J347" i="36" s="1"/>
  <c r="I346" i="36"/>
  <c r="J346" i="36" s="1"/>
  <c r="I345" i="36"/>
  <c r="J345" i="36" s="1"/>
  <c r="I344" i="36"/>
  <c r="J344" i="36" s="1"/>
  <c r="I343" i="36"/>
  <c r="J343" i="36" s="1"/>
  <c r="I342" i="36"/>
  <c r="J342" i="36" s="1"/>
  <c r="I341" i="36"/>
  <c r="J341" i="36" s="1"/>
  <c r="I340" i="36"/>
  <c r="J340" i="36" s="1"/>
  <c r="G349" i="36"/>
  <c r="I339" i="36"/>
  <c r="J339" i="36" s="1"/>
  <c r="M320" i="36"/>
  <c r="I327" i="36"/>
  <c r="J327" i="36" s="1"/>
  <c r="H328" i="36"/>
  <c r="G328" i="36"/>
  <c r="I326" i="36"/>
  <c r="J326" i="36" s="1"/>
  <c r="I314" i="36"/>
  <c r="J314" i="36" s="1"/>
  <c r="I313" i="36"/>
  <c r="J313" i="36" s="1"/>
  <c r="I312" i="36"/>
  <c r="J312" i="36" s="1"/>
  <c r="H315" i="36"/>
  <c r="G315" i="36"/>
  <c r="L300" i="36"/>
  <c r="I349" i="36" l="1"/>
  <c r="J349" i="36" s="1"/>
  <c r="I328" i="36"/>
  <c r="J328" i="36" s="1"/>
  <c r="I315" i="36"/>
  <c r="J315" i="36" s="1"/>
  <c r="I143" i="31"/>
  <c r="H302" i="36" l="1"/>
  <c r="G302" i="36"/>
  <c r="I301" i="36"/>
  <c r="J301" i="36" s="1"/>
  <c r="I300" i="36"/>
  <c r="J300" i="36" s="1"/>
  <c r="I299" i="36"/>
  <c r="J299" i="36" s="1"/>
  <c r="H290" i="36"/>
  <c r="G290" i="36"/>
  <c r="J287" i="36"/>
  <c r="I289" i="36"/>
  <c r="J289" i="36" s="1"/>
  <c r="I288" i="36"/>
  <c r="J288" i="36" s="1"/>
  <c r="H277" i="36"/>
  <c r="G277" i="36"/>
  <c r="I276" i="36"/>
  <c r="J276" i="36" s="1"/>
  <c r="I275" i="36"/>
  <c r="J275" i="36" s="1"/>
  <c r="H265" i="36"/>
  <c r="G265" i="36"/>
  <c r="I264" i="36"/>
  <c r="J264" i="36" s="1"/>
  <c r="I263" i="36"/>
  <c r="J263" i="36" s="1"/>
  <c r="I262" i="36"/>
  <c r="J262" i="36" s="1"/>
  <c r="I261" i="36"/>
  <c r="J261" i="36" s="1"/>
  <c r="I260" i="36"/>
  <c r="J260" i="36" s="1"/>
  <c r="I259" i="36"/>
  <c r="J259" i="36" s="1"/>
  <c r="L253" i="36"/>
  <c r="H248" i="36"/>
  <c r="G248" i="36"/>
  <c r="I247" i="36"/>
  <c r="J247" i="36" s="1"/>
  <c r="I248" i="36" l="1"/>
  <c r="J248" i="36" s="1"/>
  <c r="I302" i="36"/>
  <c r="J302" i="36"/>
  <c r="I290" i="36"/>
  <c r="J290" i="36" s="1"/>
  <c r="I277" i="36"/>
  <c r="J277" i="36" s="1"/>
  <c r="I265" i="36"/>
  <c r="J265" i="36" s="1"/>
  <c r="J232" i="36"/>
  <c r="I235" i="36"/>
  <c r="J235" i="36" s="1"/>
  <c r="I234" i="36"/>
  <c r="J234" i="36" s="1"/>
  <c r="I233" i="36"/>
  <c r="J233" i="36" s="1"/>
  <c r="I232" i="36"/>
  <c r="I231" i="36"/>
  <c r="J231" i="36" s="1"/>
  <c r="I230" i="36"/>
  <c r="J230" i="36" s="1"/>
  <c r="H236" i="36"/>
  <c r="G236" i="36"/>
  <c r="I216" i="36"/>
  <c r="J216" i="36" s="1"/>
  <c r="I215" i="36"/>
  <c r="J215" i="36" s="1"/>
  <c r="I214" i="36"/>
  <c r="J214" i="36" s="1"/>
  <c r="H217" i="36"/>
  <c r="G217" i="36"/>
  <c r="I217" i="36" s="1"/>
  <c r="J217" i="36" s="1"/>
  <c r="N205" i="36"/>
  <c r="I236" i="36" l="1"/>
  <c r="J236" i="36" s="1"/>
  <c r="G40" i="37" l="1"/>
  <c r="G39" i="37"/>
  <c r="G38" i="37"/>
  <c r="G37" i="37"/>
  <c r="G36" i="37"/>
  <c r="G32" i="37"/>
  <c r="G24" i="37"/>
  <c r="G20" i="37"/>
  <c r="G19" i="37"/>
  <c r="G17" i="37"/>
  <c r="G16" i="37"/>
  <c r="F32" i="37"/>
  <c r="F23" i="37"/>
  <c r="G23" i="37" s="1"/>
  <c r="F18" i="37"/>
  <c r="G18" i="37" s="1"/>
  <c r="F34" i="37"/>
  <c r="G34" i="37" s="1"/>
  <c r="F35" i="37"/>
  <c r="G35" i="37" s="1"/>
  <c r="F31" i="37"/>
  <c r="G31" i="37" s="1"/>
  <c r="F30" i="37"/>
  <c r="G30" i="37" s="1"/>
  <c r="F28" i="37"/>
  <c r="G28" i="37" s="1"/>
  <c r="F27" i="37"/>
  <c r="G27" i="37" s="1"/>
  <c r="F26" i="37"/>
  <c r="G26" i="37" s="1"/>
  <c r="F25" i="37"/>
  <c r="G25" i="37" s="1"/>
  <c r="F21" i="37"/>
  <c r="G21" i="37" s="1"/>
  <c r="F20" i="37"/>
  <c r="F19" i="37"/>
  <c r="F17" i="37"/>
  <c r="F15" i="37"/>
  <c r="G15" i="37" s="1"/>
  <c r="F14" i="37"/>
  <c r="F13" i="37"/>
  <c r="G13" i="37" s="1"/>
  <c r="F22" i="37"/>
  <c r="G22" i="37" s="1"/>
  <c r="F33" i="37"/>
  <c r="G33" i="37" s="1"/>
  <c r="D41" i="37"/>
  <c r="E14" i="37"/>
  <c r="E29" i="37"/>
  <c r="F29" i="37" l="1"/>
  <c r="G29" i="37" s="1"/>
  <c r="E41" i="37"/>
  <c r="G14" i="37"/>
  <c r="G41" i="37" s="1"/>
  <c r="F41" i="37"/>
  <c r="H156" i="36" l="1"/>
  <c r="F156" i="36"/>
  <c r="D156" i="36"/>
  <c r="I155" i="36"/>
  <c r="H161" i="36"/>
  <c r="F161" i="36"/>
  <c r="D161" i="36"/>
  <c r="I160" i="36"/>
  <c r="I159" i="36"/>
  <c r="I158" i="36"/>
  <c r="I154" i="36"/>
  <c r="I153" i="36"/>
  <c r="H147" i="36"/>
  <c r="F147" i="36"/>
  <c r="D147" i="36"/>
  <c r="I146" i="36"/>
  <c r="I145" i="36"/>
  <c r="I144" i="36"/>
  <c r="H142" i="36"/>
  <c r="F142" i="36"/>
  <c r="D142" i="36"/>
  <c r="I141" i="36"/>
  <c r="I140" i="36"/>
  <c r="D162" i="36" l="1"/>
  <c r="I156" i="36"/>
  <c r="I142" i="36"/>
  <c r="D148" i="36"/>
  <c r="I147" i="36"/>
  <c r="I161" i="36"/>
  <c r="I162" i="36" s="1"/>
  <c r="F162" i="36"/>
  <c r="I148" i="36"/>
  <c r="L164" i="36" s="1"/>
  <c r="H162" i="36"/>
  <c r="H148" i="36"/>
  <c r="F148" i="36"/>
  <c r="G129" i="36" l="1"/>
  <c r="I129" i="36" s="1"/>
  <c r="J129" i="36" s="1"/>
  <c r="G111" i="36"/>
  <c r="I111" i="36" s="1"/>
  <c r="J111" i="36" s="1"/>
  <c r="K18" i="32"/>
  <c r="C68" i="31"/>
  <c r="M100" i="36" l="1"/>
  <c r="M102" i="36" s="1"/>
  <c r="G96" i="36"/>
  <c r="I96" i="36" s="1"/>
  <c r="J96" i="36" s="1"/>
  <c r="G73" i="36"/>
  <c r="I73" i="36" s="1"/>
  <c r="J73" i="36" s="1"/>
  <c r="G39" i="36"/>
  <c r="G24" i="36"/>
  <c r="M51" i="36" l="1"/>
  <c r="N215" i="31"/>
  <c r="M57" i="36" l="1"/>
  <c r="M18" i="32"/>
  <c r="N18" i="32" l="1"/>
  <c r="K20" i="32" l="1"/>
  <c r="J24" i="30"/>
  <c r="J25" i="30" s="1"/>
  <c r="I24" i="30"/>
  <c r="C135" i="31"/>
  <c r="D17" i="33"/>
  <c r="C8" i="31" l="1"/>
  <c r="R133" i="31" l="1"/>
  <c r="R131" i="31"/>
  <c r="R142" i="31" l="1"/>
  <c r="R240" i="31" l="1"/>
  <c r="R239" i="31"/>
  <c r="C150" i="31" l="1"/>
  <c r="C239" i="31"/>
  <c r="C238" i="31"/>
  <c r="C237" i="31"/>
  <c r="C236" i="31"/>
  <c r="C235" i="31"/>
  <c r="C234" i="31"/>
  <c r="C233" i="31"/>
  <c r="C226" i="31"/>
  <c r="C225" i="31"/>
  <c r="C224" i="31"/>
  <c r="C223" i="31"/>
  <c r="C222" i="31"/>
  <c r="C212" i="31"/>
  <c r="C211" i="31"/>
  <c r="C210" i="31"/>
  <c r="C209" i="31"/>
  <c r="C208" i="31"/>
  <c r="C207" i="31"/>
  <c r="C206" i="31"/>
  <c r="C198" i="31"/>
  <c r="C197" i="31"/>
  <c r="C190" i="31"/>
  <c r="C189" i="31"/>
  <c r="C188" i="31"/>
  <c r="C178" i="31"/>
  <c r="C180" i="31"/>
  <c r="C179" i="31"/>
  <c r="C171" i="31"/>
  <c r="C170" i="31"/>
  <c r="C169" i="31"/>
  <c r="C162" i="31"/>
  <c r="C142" i="31"/>
  <c r="D14" i="30" s="1"/>
  <c r="C134" i="31"/>
  <c r="C133" i="31"/>
  <c r="C132" i="31"/>
  <c r="C131" i="31"/>
  <c r="C130" i="31"/>
  <c r="C123" i="31"/>
  <c r="C122" i="31"/>
  <c r="C121" i="31"/>
  <c r="C120" i="31"/>
  <c r="C113" i="31"/>
  <c r="C109" i="31"/>
  <c r="C102" i="31"/>
  <c r="C101" i="31"/>
  <c r="C100" i="31"/>
  <c r="C79" i="31"/>
  <c r="C78" i="31"/>
  <c r="C77" i="31"/>
  <c r="C76" i="31"/>
  <c r="C69" i="31"/>
  <c r="C61" i="31"/>
  <c r="C60" i="31"/>
  <c r="C59" i="31"/>
  <c r="C58" i="31"/>
  <c r="C57" i="31"/>
  <c r="C56" i="31"/>
  <c r="C55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7" i="31"/>
  <c r="C6" i="31"/>
  <c r="C5" i="31"/>
  <c r="C4" i="31"/>
  <c r="G118" i="35" l="1"/>
  <c r="E118" i="35"/>
  <c r="C118" i="35"/>
  <c r="H117" i="35"/>
  <c r="H116" i="35"/>
  <c r="H115" i="35"/>
  <c r="H118" i="35" s="1"/>
  <c r="G113" i="35"/>
  <c r="E113" i="35"/>
  <c r="C113" i="35"/>
  <c r="H112" i="35"/>
  <c r="H111" i="35"/>
  <c r="C119" i="35" l="1"/>
  <c r="G119" i="35"/>
  <c r="E119" i="35"/>
  <c r="H113" i="35"/>
  <c r="H119" i="35" s="1"/>
  <c r="C18" i="31" l="1"/>
  <c r="G26" i="30" l="1"/>
  <c r="E88" i="35" l="1"/>
  <c r="C88" i="35"/>
  <c r="R172" i="31" l="1"/>
  <c r="R151" i="31" s="1"/>
  <c r="Q172" i="31"/>
  <c r="P172" i="31"/>
  <c r="O172" i="31"/>
  <c r="N172" i="31"/>
  <c r="M172" i="31"/>
  <c r="L172" i="31"/>
  <c r="K172" i="31"/>
  <c r="J172" i="31"/>
  <c r="I172" i="31"/>
  <c r="H172" i="31"/>
  <c r="G172" i="31"/>
  <c r="N214" i="31" l="1"/>
  <c r="C214" i="31" s="1"/>
  <c r="N161" i="31" l="1"/>
  <c r="C161" i="31" s="1"/>
  <c r="C240" i="31" l="1"/>
  <c r="C215" i="31"/>
  <c r="R213" i="31"/>
  <c r="C213" i="31" s="1"/>
  <c r="N112" i="31"/>
  <c r="R112" i="31" l="1"/>
  <c r="C112" i="31" s="1"/>
  <c r="R110" i="31"/>
  <c r="C110" i="31" s="1"/>
  <c r="R111" i="31"/>
  <c r="C111" i="31" s="1"/>
  <c r="Q112" i="31"/>
  <c r="Q110" i="31"/>
  <c r="P112" i="31"/>
  <c r="P111" i="31"/>
  <c r="P110" i="31"/>
  <c r="Y64" i="31" l="1"/>
  <c r="Y61" i="31" l="1"/>
  <c r="Y65" i="31" l="1"/>
  <c r="X3" i="31" l="1"/>
  <c r="D25" i="33" l="1"/>
  <c r="G136" i="31"/>
  <c r="E92" i="35" l="1"/>
  <c r="C92" i="35"/>
  <c r="G92" i="35"/>
  <c r="H80" i="35"/>
  <c r="H81" i="35"/>
  <c r="H76" i="35" l="1"/>
  <c r="Q70" i="35" l="1"/>
  <c r="O70" i="35"/>
  <c r="M70" i="35"/>
  <c r="R69" i="35"/>
  <c r="R68" i="35"/>
  <c r="R67" i="35"/>
  <c r="Q65" i="35"/>
  <c r="O65" i="35"/>
  <c r="M65" i="35"/>
  <c r="R64" i="35"/>
  <c r="R63" i="35"/>
  <c r="R65" i="35" s="1"/>
  <c r="Q71" i="35" l="1"/>
  <c r="R70" i="35"/>
  <c r="R71" i="35" s="1"/>
  <c r="O71" i="35"/>
  <c r="M71" i="35"/>
  <c r="D13" i="33"/>
  <c r="C181" i="31" l="1"/>
  <c r="C172" i="31"/>
  <c r="O9" i="31" l="1"/>
  <c r="P9" i="31"/>
  <c r="Q9" i="31"/>
  <c r="R9" i="31"/>
  <c r="O49" i="31"/>
  <c r="O16" i="31" s="1"/>
  <c r="P49" i="31"/>
  <c r="Q49" i="31"/>
  <c r="R49" i="31"/>
  <c r="R16" i="31" s="1"/>
  <c r="O62" i="31"/>
  <c r="P62" i="31"/>
  <c r="P17" i="31" s="1"/>
  <c r="Q62" i="31"/>
  <c r="Q17" i="31" s="1"/>
  <c r="R62" i="31"/>
  <c r="R17" i="31" s="1"/>
  <c r="O70" i="31"/>
  <c r="P70" i="31"/>
  <c r="Q70" i="31"/>
  <c r="R70" i="31"/>
  <c r="O80" i="31"/>
  <c r="P80" i="31"/>
  <c r="Q80" i="31"/>
  <c r="R80" i="31"/>
  <c r="O103" i="31"/>
  <c r="P103" i="31"/>
  <c r="Q103" i="31"/>
  <c r="R103" i="31"/>
  <c r="O114" i="31"/>
  <c r="P114" i="31"/>
  <c r="Q114" i="31"/>
  <c r="R114" i="31"/>
  <c r="O124" i="31"/>
  <c r="P124" i="31"/>
  <c r="Q124" i="31"/>
  <c r="R124" i="31"/>
  <c r="O136" i="31"/>
  <c r="P136" i="31"/>
  <c r="Q136" i="31"/>
  <c r="R136" i="31"/>
  <c r="O143" i="31"/>
  <c r="P143" i="31"/>
  <c r="Q143" i="31"/>
  <c r="R143" i="31"/>
  <c r="O163" i="31"/>
  <c r="O149" i="31" s="1"/>
  <c r="P163" i="31"/>
  <c r="P149" i="31" s="1"/>
  <c r="Q163" i="31"/>
  <c r="Q149" i="31" s="1"/>
  <c r="R163" i="31"/>
  <c r="R149" i="31" s="1"/>
  <c r="O182" i="31"/>
  <c r="O152" i="31" s="1"/>
  <c r="P182" i="31"/>
  <c r="P152" i="31" s="1"/>
  <c r="P155" i="31" s="1"/>
  <c r="Q182" i="31"/>
  <c r="Q152" i="31" s="1"/>
  <c r="Q155" i="31" s="1"/>
  <c r="R182" i="31"/>
  <c r="R152" i="31" s="1"/>
  <c r="R155" i="31" s="1"/>
  <c r="O191" i="31"/>
  <c r="O154" i="31" s="1"/>
  <c r="P191" i="31"/>
  <c r="P154" i="31" s="1"/>
  <c r="Q191" i="31"/>
  <c r="Q154" i="31" s="1"/>
  <c r="R191" i="31"/>
  <c r="R154" i="31" s="1"/>
  <c r="O199" i="31"/>
  <c r="P199" i="31"/>
  <c r="Q199" i="31"/>
  <c r="R199" i="31"/>
  <c r="O216" i="31"/>
  <c r="P216" i="31"/>
  <c r="Q216" i="31"/>
  <c r="R216" i="31"/>
  <c r="O227" i="31"/>
  <c r="P227" i="31"/>
  <c r="Q227" i="31"/>
  <c r="R227" i="31"/>
  <c r="O241" i="31"/>
  <c r="P241" i="31"/>
  <c r="Q241" i="31"/>
  <c r="R241" i="31"/>
  <c r="O155" i="31" l="1"/>
  <c r="O17" i="31"/>
  <c r="Q16" i="31"/>
  <c r="Q19" i="31" s="1"/>
  <c r="P16" i="31"/>
  <c r="P19" i="31" s="1"/>
  <c r="R19" i="31"/>
  <c r="O19" i="31"/>
  <c r="G142" i="35"/>
  <c r="E142" i="35"/>
  <c r="C142" i="35"/>
  <c r="H141" i="35"/>
  <c r="H140" i="35"/>
  <c r="H139" i="35"/>
  <c r="G137" i="35"/>
  <c r="E137" i="35"/>
  <c r="C137" i="35"/>
  <c r="H136" i="35"/>
  <c r="H135" i="35"/>
  <c r="G130" i="35"/>
  <c r="E130" i="35"/>
  <c r="C130" i="35"/>
  <c r="H129" i="35"/>
  <c r="H128" i="35"/>
  <c r="H127" i="35"/>
  <c r="G125" i="35"/>
  <c r="E125" i="35"/>
  <c r="C125" i="35"/>
  <c r="H124" i="35"/>
  <c r="H123" i="35"/>
  <c r="G106" i="35"/>
  <c r="E106" i="35"/>
  <c r="C106" i="35"/>
  <c r="H105" i="35"/>
  <c r="H104" i="35"/>
  <c r="H103" i="35"/>
  <c r="G101" i="35"/>
  <c r="E101" i="35"/>
  <c r="C101" i="35"/>
  <c r="H100" i="35"/>
  <c r="H99" i="35"/>
  <c r="G94" i="35"/>
  <c r="E94" i="35"/>
  <c r="C94" i="35"/>
  <c r="H93" i="35"/>
  <c r="H92" i="35"/>
  <c r="H91" i="35"/>
  <c r="G89" i="35"/>
  <c r="E89" i="35"/>
  <c r="C89" i="35"/>
  <c r="H88" i="35"/>
  <c r="H87" i="35"/>
  <c r="G82" i="35"/>
  <c r="E82" i="35"/>
  <c r="C82" i="35"/>
  <c r="H79" i="35"/>
  <c r="H82" i="35" s="1"/>
  <c r="G70" i="35"/>
  <c r="E70" i="35"/>
  <c r="C70" i="35"/>
  <c r="H69" i="35"/>
  <c r="H68" i="35"/>
  <c r="H67" i="35"/>
  <c r="G65" i="35"/>
  <c r="G75" i="35" s="1"/>
  <c r="G77" i="35" s="1"/>
  <c r="E65" i="35"/>
  <c r="E75" i="35" s="1"/>
  <c r="E77" i="35" s="1"/>
  <c r="C65" i="35"/>
  <c r="C75" i="35" s="1"/>
  <c r="C77" i="35" s="1"/>
  <c r="H64" i="35"/>
  <c r="H63" i="35"/>
  <c r="G58" i="35"/>
  <c r="E58" i="35"/>
  <c r="C58" i="35"/>
  <c r="H57" i="35"/>
  <c r="H56" i="35"/>
  <c r="H55" i="35"/>
  <c r="G53" i="35"/>
  <c r="E53" i="35"/>
  <c r="C53" i="35"/>
  <c r="H52" i="35"/>
  <c r="H51" i="35"/>
  <c r="G46" i="35"/>
  <c r="E46" i="35"/>
  <c r="C46" i="35"/>
  <c r="H45" i="35"/>
  <c r="H44" i="35"/>
  <c r="H43" i="35"/>
  <c r="G41" i="35"/>
  <c r="E41" i="35"/>
  <c r="C41" i="35"/>
  <c r="H40" i="35"/>
  <c r="H39" i="35"/>
  <c r="G34" i="35"/>
  <c r="E34" i="35"/>
  <c r="C34" i="35"/>
  <c r="H33" i="35"/>
  <c r="H32" i="35"/>
  <c r="H31" i="35"/>
  <c r="G29" i="35"/>
  <c r="E29" i="35"/>
  <c r="C29" i="35"/>
  <c r="H28" i="35"/>
  <c r="H27" i="35"/>
  <c r="G22" i="35"/>
  <c r="E22" i="35"/>
  <c r="C22" i="35"/>
  <c r="H21" i="35"/>
  <c r="H20" i="35"/>
  <c r="H19" i="35"/>
  <c r="G17" i="35"/>
  <c r="E17" i="35"/>
  <c r="C17" i="35"/>
  <c r="H16" i="35"/>
  <c r="H15" i="35"/>
  <c r="G10" i="35"/>
  <c r="E10" i="35"/>
  <c r="C10" i="35"/>
  <c r="H9" i="35"/>
  <c r="H8" i="35"/>
  <c r="H7" i="35"/>
  <c r="G5" i="35"/>
  <c r="E5" i="35"/>
  <c r="C5" i="35"/>
  <c r="H4" i="35"/>
  <c r="H3" i="35"/>
  <c r="H130" i="35" l="1"/>
  <c r="C131" i="35"/>
  <c r="G23" i="35"/>
  <c r="H5" i="35"/>
  <c r="H137" i="35"/>
  <c r="C23" i="35"/>
  <c r="G47" i="35"/>
  <c r="H29" i="35"/>
  <c r="H46" i="35"/>
  <c r="H22" i="35"/>
  <c r="E131" i="35"/>
  <c r="H125" i="35"/>
  <c r="H131" i="35" s="1"/>
  <c r="H101" i="35"/>
  <c r="E95" i="35"/>
  <c r="E107" i="35"/>
  <c r="G35" i="35"/>
  <c r="G107" i="35"/>
  <c r="E59" i="35"/>
  <c r="H65" i="35"/>
  <c r="H17" i="35"/>
  <c r="H23" i="35" s="1"/>
  <c r="H34" i="35"/>
  <c r="C47" i="35"/>
  <c r="H75" i="35"/>
  <c r="H77" i="35" s="1"/>
  <c r="H83" i="35" s="1"/>
  <c r="H106" i="35"/>
  <c r="E23" i="35"/>
  <c r="C107" i="35"/>
  <c r="H41" i="35"/>
  <c r="G11" i="35"/>
  <c r="E47" i="35"/>
  <c r="H53" i="35"/>
  <c r="H94" i="35"/>
  <c r="C95" i="35"/>
  <c r="E83" i="35"/>
  <c r="H70" i="35"/>
  <c r="G71" i="35"/>
  <c r="E71" i="35"/>
  <c r="C71" i="35"/>
  <c r="C11" i="35"/>
  <c r="E11" i="35"/>
  <c r="E35" i="35"/>
  <c r="C59" i="35"/>
  <c r="C83" i="35"/>
  <c r="G131" i="35"/>
  <c r="C143" i="35"/>
  <c r="H10" i="35"/>
  <c r="H11" i="35" s="1"/>
  <c r="G59" i="35"/>
  <c r="G83" i="35"/>
  <c r="E143" i="35"/>
  <c r="G143" i="35"/>
  <c r="C35" i="35"/>
  <c r="G95" i="35"/>
  <c r="H58" i="35"/>
  <c r="H89" i="35"/>
  <c r="H142" i="35"/>
  <c r="H59" i="35" l="1"/>
  <c r="H107" i="35"/>
  <c r="H35" i="35"/>
  <c r="H47" i="35"/>
  <c r="H143" i="35"/>
  <c r="H71" i="35"/>
  <c r="H95" i="35"/>
  <c r="C24" i="29" l="1"/>
  <c r="N241" i="31"/>
  <c r="N227" i="31"/>
  <c r="D23" i="30" s="1"/>
  <c r="N216" i="31"/>
  <c r="N199" i="31"/>
  <c r="N191" i="31"/>
  <c r="N154" i="31" s="1"/>
  <c r="N182" i="31"/>
  <c r="N152" i="31" s="1"/>
  <c r="N151" i="31"/>
  <c r="N163" i="31"/>
  <c r="N149" i="31" s="1"/>
  <c r="N143" i="31"/>
  <c r="N136" i="31"/>
  <c r="N124" i="31"/>
  <c r="N114" i="31"/>
  <c r="N103" i="31"/>
  <c r="N80" i="31"/>
  <c r="N62" i="31"/>
  <c r="N17" i="31" s="1"/>
  <c r="N49" i="31"/>
  <c r="N16" i="31" s="1"/>
  <c r="G23" i="30" l="1"/>
  <c r="N155" i="31"/>
  <c r="N19" i="31"/>
  <c r="N20" i="31" s="1"/>
  <c r="N9" i="31"/>
  <c r="N70" i="31" l="1"/>
  <c r="M241" i="31" l="1"/>
  <c r="M227" i="31"/>
  <c r="M216" i="31"/>
  <c r="M182" i="31"/>
  <c r="M152" i="31" s="1"/>
  <c r="M151" i="31"/>
  <c r="M163" i="31"/>
  <c r="M149" i="31" s="1"/>
  <c r="M143" i="31"/>
  <c r="M136" i="31"/>
  <c r="M124" i="31"/>
  <c r="M114" i="31"/>
  <c r="M103" i="31" l="1"/>
  <c r="M80" i="31"/>
  <c r="M70" i="31"/>
  <c r="M62" i="31"/>
  <c r="M49" i="31"/>
  <c r="M16" i="31" s="1"/>
  <c r="M191" i="31"/>
  <c r="M154" i="31" s="1"/>
  <c r="M155" i="31" s="1"/>
  <c r="M199" i="31"/>
  <c r="M9" i="31"/>
  <c r="M17" i="31" l="1"/>
  <c r="M84" i="31"/>
  <c r="M97" i="31" s="1"/>
  <c r="M19" i="31"/>
  <c r="J20" i="34" l="1"/>
  <c r="J16" i="34"/>
  <c r="H20" i="34" l="1"/>
  <c r="H16" i="34"/>
  <c r="D15" i="34"/>
  <c r="D12" i="34"/>
  <c r="D21" i="34" l="1"/>
  <c r="G17" i="32" l="1"/>
  <c r="G15" i="32" l="1"/>
  <c r="G14" i="32"/>
  <c r="G13" i="32"/>
  <c r="C16" i="32"/>
  <c r="C20" i="32" s="1"/>
  <c r="F16" i="32"/>
  <c r="F25" i="30"/>
  <c r="F15" i="30"/>
  <c r="G16" i="32" l="1"/>
  <c r="F27" i="30"/>
  <c r="C153" i="31" l="1"/>
  <c r="C88" i="31" l="1"/>
  <c r="H86" i="31" l="1"/>
  <c r="H87" i="31"/>
  <c r="C143" i="31" l="1"/>
  <c r="F13" i="34" s="1"/>
  <c r="L241" i="31"/>
  <c r="K241" i="31"/>
  <c r="J241" i="31"/>
  <c r="I241" i="31"/>
  <c r="H241" i="31"/>
  <c r="G241" i="31"/>
  <c r="L227" i="31"/>
  <c r="K227" i="31"/>
  <c r="J227" i="31"/>
  <c r="I227" i="31"/>
  <c r="H227" i="31"/>
  <c r="G227" i="31"/>
  <c r="L216" i="31"/>
  <c r="J216" i="31"/>
  <c r="I216" i="31"/>
  <c r="H216" i="31"/>
  <c r="G216" i="31"/>
  <c r="L199" i="31"/>
  <c r="K199" i="31"/>
  <c r="J199" i="31"/>
  <c r="I199" i="31"/>
  <c r="H199" i="31"/>
  <c r="G199" i="31"/>
  <c r="L191" i="31"/>
  <c r="L154" i="31" s="1"/>
  <c r="K191" i="31"/>
  <c r="K154" i="31" s="1"/>
  <c r="J191" i="31"/>
  <c r="J154" i="31" s="1"/>
  <c r="I191" i="31"/>
  <c r="I154" i="31" s="1"/>
  <c r="H191" i="31"/>
  <c r="H154" i="31" s="1"/>
  <c r="G191" i="31"/>
  <c r="G154" i="31" s="1"/>
  <c r="L182" i="31"/>
  <c r="L152" i="31" s="1"/>
  <c r="K182" i="31"/>
  <c r="K152" i="31" s="1"/>
  <c r="J182" i="31"/>
  <c r="J152" i="31" s="1"/>
  <c r="I182" i="31"/>
  <c r="I152" i="31" s="1"/>
  <c r="H182" i="31"/>
  <c r="H152" i="31" s="1"/>
  <c r="G182" i="31"/>
  <c r="G152" i="31" s="1"/>
  <c r="H151" i="31"/>
  <c r="I151" i="31"/>
  <c r="J151" i="31"/>
  <c r="K151" i="31"/>
  <c r="L151" i="31"/>
  <c r="G151" i="31"/>
  <c r="H163" i="31"/>
  <c r="H149" i="31" s="1"/>
  <c r="I163" i="31"/>
  <c r="I149" i="31" s="1"/>
  <c r="J163" i="31"/>
  <c r="J149" i="31" s="1"/>
  <c r="K163" i="31"/>
  <c r="K149" i="31" s="1"/>
  <c r="L163" i="31"/>
  <c r="L149" i="31" s="1"/>
  <c r="G163" i="31"/>
  <c r="G149" i="31" s="1"/>
  <c r="L143" i="31"/>
  <c r="H143" i="31"/>
  <c r="J143" i="31"/>
  <c r="K143" i="31"/>
  <c r="G143" i="31"/>
  <c r="H136" i="31"/>
  <c r="I136" i="31"/>
  <c r="J136" i="31"/>
  <c r="K136" i="31"/>
  <c r="L136" i="31"/>
  <c r="H124" i="31"/>
  <c r="I124" i="31"/>
  <c r="J124" i="31"/>
  <c r="K124" i="31"/>
  <c r="L124" i="31"/>
  <c r="G124" i="31"/>
  <c r="H114" i="31"/>
  <c r="I114" i="31"/>
  <c r="J114" i="31"/>
  <c r="K114" i="31"/>
  <c r="L114" i="31"/>
  <c r="G114" i="31"/>
  <c r="H103" i="31"/>
  <c r="I103" i="31"/>
  <c r="J103" i="31"/>
  <c r="K103" i="31"/>
  <c r="L103" i="31"/>
  <c r="G103" i="31"/>
  <c r="H80" i="31"/>
  <c r="I80" i="31"/>
  <c r="J80" i="31"/>
  <c r="K80" i="31"/>
  <c r="L80" i="31"/>
  <c r="G80" i="31"/>
  <c r="H70" i="31"/>
  <c r="I70" i="31"/>
  <c r="J70" i="31"/>
  <c r="K70" i="31"/>
  <c r="L70" i="31"/>
  <c r="G70" i="31"/>
  <c r="H62" i="31"/>
  <c r="H17" i="31" s="1"/>
  <c r="I62" i="31"/>
  <c r="I17" i="31" s="1"/>
  <c r="J62" i="31"/>
  <c r="J17" i="31" s="1"/>
  <c r="K62" i="31"/>
  <c r="K17" i="31" s="1"/>
  <c r="L62" i="31"/>
  <c r="L17" i="31" s="1"/>
  <c r="G62" i="31"/>
  <c r="G17" i="31" s="1"/>
  <c r="H9" i="31"/>
  <c r="I9" i="31"/>
  <c r="J9" i="31"/>
  <c r="K9" i="31"/>
  <c r="L9" i="31"/>
  <c r="G9" i="31"/>
  <c r="H49" i="31"/>
  <c r="H16" i="31" s="1"/>
  <c r="I49" i="31"/>
  <c r="I16" i="31" s="1"/>
  <c r="J49" i="31"/>
  <c r="J16" i="31" s="1"/>
  <c r="K49" i="31"/>
  <c r="K16" i="31" s="1"/>
  <c r="L49" i="31"/>
  <c r="L16" i="31" s="1"/>
  <c r="E241" i="31"/>
  <c r="E227" i="31"/>
  <c r="E216" i="31"/>
  <c r="E199" i="31"/>
  <c r="E191" i="31"/>
  <c r="E154" i="31" s="1"/>
  <c r="E182" i="31"/>
  <c r="E152" i="31" s="1"/>
  <c r="E172" i="31"/>
  <c r="E151" i="31" s="1"/>
  <c r="E163" i="31"/>
  <c r="E149" i="31" s="1"/>
  <c r="E143" i="31"/>
  <c r="E136" i="31"/>
  <c r="C136" i="31"/>
  <c r="D13" i="30" s="1"/>
  <c r="G13" i="30" s="1"/>
  <c r="E124" i="31"/>
  <c r="E114" i="31"/>
  <c r="C114" i="31"/>
  <c r="E103" i="31"/>
  <c r="C103" i="31"/>
  <c r="G93" i="31"/>
  <c r="E93" i="31"/>
  <c r="C93" i="31"/>
  <c r="H92" i="31"/>
  <c r="H91" i="31"/>
  <c r="H90" i="31"/>
  <c r="G88" i="31"/>
  <c r="E88" i="31"/>
  <c r="E80" i="31"/>
  <c r="E70" i="31"/>
  <c r="C70" i="31"/>
  <c r="E62" i="31"/>
  <c r="E17" i="31" s="1"/>
  <c r="C62" i="31"/>
  <c r="E49" i="31"/>
  <c r="E16" i="31" s="1"/>
  <c r="C49" i="31"/>
  <c r="E9" i="31"/>
  <c r="C9" i="31"/>
  <c r="D11" i="33" l="1"/>
  <c r="F14" i="34"/>
  <c r="C16" i="31"/>
  <c r="C50" i="31"/>
  <c r="C51" i="31" s="1"/>
  <c r="C144" i="31"/>
  <c r="C145" i="31" s="1"/>
  <c r="G14" i="30"/>
  <c r="C17" i="31"/>
  <c r="C63" i="31"/>
  <c r="C64" i="31" s="1"/>
  <c r="C115" i="31"/>
  <c r="C116" i="31" s="1"/>
  <c r="C71" i="31"/>
  <c r="C72" i="31" s="1"/>
  <c r="C137" i="31"/>
  <c r="C138" i="31" s="1"/>
  <c r="C241" i="31"/>
  <c r="C104" i="31"/>
  <c r="C105" i="31" s="1"/>
  <c r="C10" i="31"/>
  <c r="C11" i="31" s="1"/>
  <c r="C199" i="31"/>
  <c r="C191" i="31"/>
  <c r="C182" i="31"/>
  <c r="J155" i="31"/>
  <c r="C80" i="31"/>
  <c r="C163" i="31"/>
  <c r="C149" i="31" s="1"/>
  <c r="C227" i="31"/>
  <c r="H155" i="31"/>
  <c r="L155" i="31"/>
  <c r="G155" i="31"/>
  <c r="I155" i="31"/>
  <c r="K155" i="31"/>
  <c r="E94" i="31"/>
  <c r="C94" i="31"/>
  <c r="I19" i="31"/>
  <c r="K19" i="31"/>
  <c r="L19" i="31"/>
  <c r="J19" i="31"/>
  <c r="H19" i="31"/>
  <c r="G94" i="31"/>
  <c r="H93" i="31"/>
  <c r="H88" i="31"/>
  <c r="E155" i="31"/>
  <c r="E19" i="31"/>
  <c r="D16" i="33" l="1"/>
  <c r="G193" i="31"/>
  <c r="C32" i="29"/>
  <c r="K8" i="32" s="1"/>
  <c r="C19" i="31"/>
  <c r="D12" i="33"/>
  <c r="J14" i="34"/>
  <c r="H14" i="34"/>
  <c r="C228" i="31"/>
  <c r="C229" i="31" s="1"/>
  <c r="C151" i="31"/>
  <c r="C173" i="31"/>
  <c r="C174" i="31" s="1"/>
  <c r="C154" i="31"/>
  <c r="C192" i="31"/>
  <c r="C193" i="31" s="1"/>
  <c r="C242" i="31"/>
  <c r="C243" i="31" s="1"/>
  <c r="D24" i="30"/>
  <c r="F17" i="34" s="1"/>
  <c r="C164" i="31"/>
  <c r="C165" i="31" s="1"/>
  <c r="C200" i="31"/>
  <c r="C201" i="31" s="1"/>
  <c r="D21" i="30"/>
  <c r="F19" i="34" s="1"/>
  <c r="C152" i="31"/>
  <c r="C183" i="31"/>
  <c r="C184" i="31" s="1"/>
  <c r="C81" i="31"/>
  <c r="C82" i="31" s="1"/>
  <c r="H94" i="31"/>
  <c r="D15" i="30"/>
  <c r="G15" i="30" s="1"/>
  <c r="J19" i="34" l="1"/>
  <c r="H19" i="34"/>
  <c r="J17" i="34"/>
  <c r="H17" i="34"/>
  <c r="G24" i="30"/>
  <c r="D18" i="33"/>
  <c r="C34" i="29"/>
  <c r="D14" i="33"/>
  <c r="G21" i="30"/>
  <c r="C20" i="31"/>
  <c r="C21" i="31" s="1"/>
  <c r="C155" i="31"/>
  <c r="J13" i="34"/>
  <c r="J12" i="34" s="1"/>
  <c r="F12" i="34"/>
  <c r="H13" i="34"/>
  <c r="H12" i="34" s="1"/>
  <c r="C20" i="29" l="1"/>
  <c r="C156" i="31"/>
  <c r="C157" i="31" s="1"/>
  <c r="D20" i="30"/>
  <c r="D15" i="33" s="1"/>
  <c r="G49" i="31"/>
  <c r="G16" i="31" s="1"/>
  <c r="G19" i="31" s="1"/>
  <c r="K216" i="31"/>
  <c r="C216" i="31"/>
  <c r="D22" i="30" s="1"/>
  <c r="G22" i="30" l="1"/>
  <c r="F18" i="34"/>
  <c r="C26" i="29"/>
  <c r="G20" i="30"/>
  <c r="D19" i="33"/>
  <c r="D27" i="33" s="1"/>
  <c r="D29" i="33" s="1"/>
  <c r="D32" i="33" s="1"/>
  <c r="D34" i="33" s="1"/>
  <c r="C217" i="31"/>
  <c r="C218" i="31" s="1"/>
  <c r="D25" i="30"/>
  <c r="K7" i="32" l="1"/>
  <c r="K9" i="32" s="1"/>
  <c r="K11" i="32" s="1"/>
  <c r="J18" i="34"/>
  <c r="J15" i="34" s="1"/>
  <c r="J21" i="34" s="1"/>
  <c r="H18" i="34"/>
  <c r="H15" i="34" s="1"/>
  <c r="F15" i="34"/>
  <c r="F21" i="34" s="1"/>
  <c r="D27" i="30"/>
  <c r="G25" i="30"/>
  <c r="C124" i="31"/>
  <c r="C125" i="31" s="1"/>
  <c r="C126" i="31" s="1"/>
  <c r="F19" i="32" l="1"/>
  <c r="J19" i="32" s="1"/>
  <c r="L19" i="32" s="1"/>
  <c r="G27" i="30"/>
  <c r="N19" i="32" l="1"/>
  <c r="L20" i="32"/>
  <c r="G19" i="32" l="1"/>
  <c r="N20" i="32" l="1"/>
  <c r="M20" i="32"/>
  <c r="G18" i="32" l="1"/>
  <c r="G20" i="32" s="1"/>
  <c r="F20" i="32"/>
  <c r="J20" i="32" l="1"/>
  <c r="C40" i="29" l="1"/>
  <c r="C42" i="29" l="1"/>
</calcChain>
</file>

<file path=xl/sharedStrings.xml><?xml version="1.0" encoding="utf-8"?>
<sst xmlns="http://schemas.openxmlformats.org/spreadsheetml/2006/main" count="1923" uniqueCount="645">
  <si>
    <t>Estado de Rendimiento Financiero</t>
  </si>
  <si>
    <t>Estado de Flujo de Efectivo</t>
  </si>
  <si>
    <t>Cobros por venta de bienes y servicios y arrendamientos</t>
  </si>
  <si>
    <t>Pagos a otras entidades para financiar sus operaciones (Transferencias)</t>
  </si>
  <si>
    <t>Pagos a los trabajadores o en beneficio de ellos</t>
  </si>
  <si>
    <t>Pagos por contribuciones a la seguridad social</t>
  </si>
  <si>
    <t>Capital Aportado</t>
  </si>
  <si>
    <t>Resultados Acumulados</t>
  </si>
  <si>
    <t>Total Activos Netos / Patrimonio</t>
  </si>
  <si>
    <t>Presupuesto sobre la Base de Efectivo</t>
  </si>
  <si>
    <t>Saldo al 30 de Junio de 2019</t>
  </si>
  <si>
    <t>Saldo al 30 de Junio de 2020</t>
  </si>
  <si>
    <t>Descripcion</t>
  </si>
  <si>
    <t>Cuenta Unica del Tesoro</t>
  </si>
  <si>
    <t>Banco del Reservas Cta. 015-001311-6 Fondo Operacional</t>
  </si>
  <si>
    <t>Fondo de Caja de Caja (Cafeteria)</t>
  </si>
  <si>
    <t>Fondo de Caja (Centro)</t>
  </si>
  <si>
    <t>Total Disponible en Caja y Bancos</t>
  </si>
  <si>
    <t>Nota #8</t>
  </si>
  <si>
    <t>Cuentas por Cobrar (Nota 8-1)</t>
  </si>
  <si>
    <t>Otras Cuentas por Cobrar (Nota 8-2)</t>
  </si>
  <si>
    <t>Cuenta por Cobrar Paciente</t>
  </si>
  <si>
    <t>Nota 8-1</t>
  </si>
  <si>
    <t>ARS SENASA</t>
  </si>
  <si>
    <t>ARS SALUD SEGURA</t>
  </si>
  <si>
    <t>ARS HUMANO</t>
  </si>
  <si>
    <t>ARS UNIVERSAL</t>
  </si>
  <si>
    <t>ARS PALIC SALUD</t>
  </si>
  <si>
    <t>ARS SEMMA</t>
  </si>
  <si>
    <t>ARS RENACER</t>
  </si>
  <si>
    <t>ARS APS</t>
  </si>
  <si>
    <t>ARS FUTURO</t>
  </si>
  <si>
    <t xml:space="preserve">ARS CONSTITUCION </t>
  </si>
  <si>
    <t>ARS SIMAG</t>
  </si>
  <si>
    <t>ARS UASD</t>
  </si>
  <si>
    <t>ARS CMD</t>
  </si>
  <si>
    <t>ARS BANRESERVAS</t>
  </si>
  <si>
    <t>ARS MONUMENTAL</t>
  </si>
  <si>
    <t>ARS ASEMAP</t>
  </si>
  <si>
    <t>ARS YUNEN</t>
  </si>
  <si>
    <t>ARS PLAN SALUD (BANCO CENTRAL)</t>
  </si>
  <si>
    <t>ANGLOAMERICA</t>
  </si>
  <si>
    <t>ARS GMA</t>
  </si>
  <si>
    <t>ARS META SALUD</t>
  </si>
  <si>
    <t>Total Cuentas por Cobrar ARS</t>
  </si>
  <si>
    <t>Nota 8-2</t>
  </si>
  <si>
    <t>Riesgo Laboral (ARL)</t>
  </si>
  <si>
    <t>SALUD PUBLICA</t>
  </si>
  <si>
    <t>PLAN SOCIAL PRESIDENCIA</t>
  </si>
  <si>
    <t>PRIMERA DAMA</t>
  </si>
  <si>
    <t>MOSCOSO PUELLO</t>
  </si>
  <si>
    <t>APOLLO BARRIAL</t>
  </si>
  <si>
    <t>Total Cuentas por Cobrar Otras Intituciones</t>
  </si>
  <si>
    <t>Nota 9</t>
  </si>
  <si>
    <t>Inventario de Mercancias (Medicamentos y Materiales Medicos)</t>
  </si>
  <si>
    <t>Inventarios de Consumo (Material Gastable)</t>
  </si>
  <si>
    <t>Total de Inventario Consumos</t>
  </si>
  <si>
    <t>Nota 10</t>
  </si>
  <si>
    <t>Seguros Para Vehiculos</t>
  </si>
  <si>
    <t>Seguros para Personas</t>
  </si>
  <si>
    <t>Seguros para Equipos</t>
  </si>
  <si>
    <t>Seguros para Edificacion</t>
  </si>
  <si>
    <t>Total Pago por Anticipados</t>
  </si>
  <si>
    <t>Nota 11</t>
  </si>
  <si>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</si>
  <si>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</si>
  <si>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</si>
  <si>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</si>
  <si>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</si>
  <si>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Retiros</t>
  </si>
  <si>
    <t>Saldo al final Periodo</t>
  </si>
  <si>
    <t>Depreciación Acumulada</t>
  </si>
  <si>
    <t>Al inicio del Periodo</t>
  </si>
  <si>
    <t>Cargo del Periodo</t>
  </si>
  <si>
    <t>Saldo al final del periodo</t>
  </si>
  <si>
    <t>Nota 12</t>
  </si>
  <si>
    <t>Proveedor de Medicamentos y Materiales Gastables</t>
  </si>
  <si>
    <t>Proveedor Laboratorio</t>
  </si>
  <si>
    <t>Proveedor Otros</t>
  </si>
  <si>
    <t>Total Cuentas por Pagar</t>
  </si>
  <si>
    <t>Nota 13</t>
  </si>
  <si>
    <t>Retencion ISR</t>
  </si>
  <si>
    <t>Retencion 5%</t>
  </si>
  <si>
    <t>Retencion 10%</t>
  </si>
  <si>
    <t>ITBIS</t>
  </si>
  <si>
    <t>Retencion 2%</t>
  </si>
  <si>
    <t>Total Retencion y Acumulaciones por Pagar</t>
  </si>
  <si>
    <t>Nota 14</t>
  </si>
  <si>
    <t>Capital Institucional</t>
  </si>
  <si>
    <t>Ajustes Años Anteriores</t>
  </si>
  <si>
    <t>Resultados Periodo Anteriores</t>
  </si>
  <si>
    <t>Resultados del Periodo</t>
  </si>
  <si>
    <t>Total Patrimonio</t>
  </si>
  <si>
    <t>Nota 15</t>
  </si>
  <si>
    <t>Ingresos por SENASA</t>
  </si>
  <si>
    <t>Ingresos por Otras ARS</t>
  </si>
  <si>
    <t>Ingresos por Paciente</t>
  </si>
  <si>
    <t>Otras Contribuciones</t>
  </si>
  <si>
    <t>Otros Cafeteria</t>
  </si>
  <si>
    <t>Otros Ingresos</t>
  </si>
  <si>
    <t>Total Ingresos Operacionales</t>
  </si>
  <si>
    <t>Nota 16</t>
  </si>
  <si>
    <t>Transferencia Corrientes Recibidas</t>
  </si>
  <si>
    <t>Total Transferencias Recibidas</t>
  </si>
  <si>
    <t>Nota 17</t>
  </si>
  <si>
    <t>Remuneración al Personal con Carácter Transitorio (Nota 17-1)</t>
  </si>
  <si>
    <t xml:space="preserve">Sueldo Anual No. 13 </t>
  </si>
  <si>
    <t>Prestaciones Económicas (Nota 17-2)</t>
  </si>
  <si>
    <t>Compensación (Nota 17-3)</t>
  </si>
  <si>
    <t>Gratificación por Pasantías</t>
  </si>
  <si>
    <t>Contribuciones a la Seguridad Social (Nota 17-4)</t>
  </si>
  <si>
    <t xml:space="preserve">Total Remuneraciones </t>
  </si>
  <si>
    <t>Nota 17-1</t>
  </si>
  <si>
    <t>Sueldo Personal Contratado y/o Igualado</t>
  </si>
  <si>
    <t>Suplencias</t>
  </si>
  <si>
    <t>Total Remineracion al Personal Contratado u/o Igualado</t>
  </si>
  <si>
    <t>Nota 17-2</t>
  </si>
  <si>
    <t>Prestacion Laboral por Desvinculacion</t>
  </si>
  <si>
    <t>Proporcion de Vacasiones no Disfrutadas</t>
  </si>
  <si>
    <t>Total Pretacion Economica</t>
  </si>
  <si>
    <t>Nota 17-3</t>
  </si>
  <si>
    <t>Compensacion por Horas Extraodinarias</t>
  </si>
  <si>
    <t>Compensacion Servicios de Seguridad</t>
  </si>
  <si>
    <t>Compensacion por Resultados</t>
  </si>
  <si>
    <t>Total Compensacion</t>
  </si>
  <si>
    <t>Nota 17-4</t>
  </si>
  <si>
    <t>Contribuciones al Seguro de Salud</t>
  </si>
  <si>
    <t>Contribuciones al Seguro de Pensiones</t>
  </si>
  <si>
    <t>Contribuciones al Seguro de Riesgo Laboral</t>
  </si>
  <si>
    <t>Nota 18</t>
  </si>
  <si>
    <t>Ayudas y Donaciones Ocasionales a Hogares y Personas</t>
  </si>
  <si>
    <t>Transferencias Corrientes a Otras Instituciones</t>
  </si>
  <si>
    <t>Total Tranferencias y Donaciones Corrientes</t>
  </si>
  <si>
    <t>Nota 19</t>
  </si>
  <si>
    <t xml:space="preserve">Alimentos y Productos </t>
  </si>
  <si>
    <t xml:space="preserve">Textiles y Vestuarios </t>
  </si>
  <si>
    <t>Productos de Papel Cartón e Impresión</t>
  </si>
  <si>
    <t>Productos Farmacéuticos</t>
  </si>
  <si>
    <t>Productos de Cuero, Caucho y Plásticos</t>
  </si>
  <si>
    <t>Productos de Minerales, Metálicos y No Metálicos</t>
  </si>
  <si>
    <t>Combustible y Lubricantes</t>
  </si>
  <si>
    <t>Productos Químicos y Conexos</t>
  </si>
  <si>
    <t>Productos Médicos Quirúrgicos</t>
  </si>
  <si>
    <t>Productos y Útiles Varios</t>
  </si>
  <si>
    <t>Total Materiales y Suministros</t>
  </si>
  <si>
    <t>Nota 20</t>
  </si>
  <si>
    <t>Dep. Acum. de Muebles de Oficina</t>
  </si>
  <si>
    <t>Dep. Acum. de Computadora</t>
  </si>
  <si>
    <t>Dep. Acum. Equipos de Transporte</t>
  </si>
  <si>
    <t>Dep. Acum. de Otros Activos</t>
  </si>
  <si>
    <t>Dep. Acum. de Equipos Medico</t>
  </si>
  <si>
    <t>Total Gastos depreciación</t>
  </si>
  <si>
    <t>Centro Cardio-Neuro Oftamologico y Trasplante</t>
  </si>
  <si>
    <t>( VALORES ES RD$)</t>
  </si>
  <si>
    <t>Total Activos</t>
  </si>
  <si>
    <t>Ingresos (Notas 15 Y 16)</t>
  </si>
  <si>
    <t>Ingresos por Transacciones con Contraprestacion</t>
  </si>
  <si>
    <t>Tranferencias y Donaciones</t>
  </si>
  <si>
    <t>Total Ingresos</t>
  </si>
  <si>
    <t>Gastos (Notas 17, 18, 19, 20 y 21)</t>
  </si>
  <si>
    <t>Sueldos, Salarios y Beneficiarios a Empleados</t>
  </si>
  <si>
    <t>Subvenciones y Otros Pagos por Tranferencia</t>
  </si>
  <si>
    <t>Suministros y Material para Consumo</t>
  </si>
  <si>
    <t>Depreciacion y Amortizaciones</t>
  </si>
  <si>
    <t>Otros Gastos</t>
  </si>
  <si>
    <t>Total de Gastos</t>
  </si>
  <si>
    <t>Resultado del Periodo (Ahorro/Desahorro)</t>
  </si>
  <si>
    <t>NOTA 21</t>
  </si>
  <si>
    <t>Servicios Basicos</t>
  </si>
  <si>
    <t>Publicidad Impresion y Encuardernacion</t>
  </si>
  <si>
    <t>Viaticos</t>
  </si>
  <si>
    <t>Transporte y Almacenaje</t>
  </si>
  <si>
    <t>Alquileres y Rentas</t>
  </si>
  <si>
    <t>Servicios de Conservacion y Reparacion Menores</t>
  </si>
  <si>
    <t>Otros Servicios no Personales</t>
  </si>
  <si>
    <t>Total de Servicios No Persinales</t>
  </si>
  <si>
    <t>ENERO</t>
  </si>
  <si>
    <t>FEBRERO</t>
  </si>
  <si>
    <t>MARZO</t>
  </si>
  <si>
    <t>ABRIL</t>
  </si>
  <si>
    <t>MAYO</t>
  </si>
  <si>
    <t>JUNIO</t>
  </si>
  <si>
    <t>PRIMERA ARS DE HUMANO</t>
  </si>
  <si>
    <t>`03</t>
  </si>
  <si>
    <t>`04</t>
  </si>
  <si>
    <t>`01</t>
  </si>
  <si>
    <t>`02</t>
  </si>
  <si>
    <t>`05</t>
  </si>
  <si>
    <t>`06</t>
  </si>
  <si>
    <t>Costo de Adquisición 2019</t>
  </si>
  <si>
    <t>Propiedad, Planta y Equipo Neto 2020</t>
  </si>
  <si>
    <t>Dr. Federico E. Nuñez</t>
  </si>
  <si>
    <t>Director General</t>
  </si>
  <si>
    <t>Lic. Blas A. Cruz Duran</t>
  </si>
  <si>
    <t>Licda. Yamilet C. Paulino S.</t>
  </si>
  <si>
    <t>Encargada interina de Contabilidad</t>
  </si>
  <si>
    <t>Administrador</t>
  </si>
  <si>
    <t>Las notas corespondientes desde la 15 a la 21 son parte integral de este Estado Financiero.</t>
  </si>
  <si>
    <t>Servicio Nacional de Salud</t>
  </si>
  <si>
    <t>Servicio Regional de Salud Metropolitano</t>
  </si>
  <si>
    <t>Ciudad Sanitaria Dr. Luis E. Aybar</t>
  </si>
  <si>
    <t>Estado de Cambio de Activo Neto / Patrimonio</t>
  </si>
  <si>
    <t>Saldo al 01 de Enero de 2019</t>
  </si>
  <si>
    <t>Ajuste al Patrimonio</t>
  </si>
  <si>
    <t>Resultado del Periodo</t>
  </si>
  <si>
    <t>Cambio en Politicas Contables</t>
  </si>
  <si>
    <t>Cambios en Politicas Contables</t>
  </si>
  <si>
    <t>Revaluacion</t>
  </si>
  <si>
    <t>Flujo de Efectivo procedentes de actividades operativas:</t>
  </si>
  <si>
    <t>Cobros de Sbvenciones, transferencias y otras asignaciones</t>
  </si>
  <si>
    <t>Otros Cobros</t>
  </si>
  <si>
    <t>Pagos a Proveedores</t>
  </si>
  <si>
    <t>Otros Pagos</t>
  </si>
  <si>
    <t>Flujos de efectivo netos de las actividades de operacion</t>
  </si>
  <si>
    <t>Flujos de efectivo de las Actividades de inversión</t>
  </si>
  <si>
    <t>Pagos por adquisicion de propiedad, planta y equipo</t>
  </si>
  <si>
    <t>Pagos por adquisicion de intangibles y otros activos de largo plazo</t>
  </si>
  <si>
    <t>Otros pagos</t>
  </si>
  <si>
    <t>Flujos netos por las actividades por las actividades de inversión</t>
  </si>
  <si>
    <t>Incremento/(Diminucion) neta en el efectivo y equivalente al efectivo</t>
  </si>
  <si>
    <t>Efectivo y equivalentes al efectivo al principio del periodo</t>
  </si>
  <si>
    <t>Efectivo y equivalentes al efectivo al final del periodo</t>
  </si>
  <si>
    <t>Estado de Compracion de los Importes Presupuestados y Realizados</t>
  </si>
  <si>
    <t>(Clasificacion de Ingresos y Gastos por Objeto)</t>
  </si>
  <si>
    <t>Concepto</t>
  </si>
  <si>
    <t>Ingresos totales</t>
  </si>
  <si>
    <t>Tranferencias</t>
  </si>
  <si>
    <t>Otros ingresos</t>
  </si>
  <si>
    <t>Gastos totales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</si>
  <si>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</si>
  <si>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</si>
  <si>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</si>
  <si>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</si>
  <si>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</si>
  <si>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Presupuesto Reformado (A)</t>
  </si>
  <si>
    <t>Presupuesto Ejecutado (B)</t>
  </si>
  <si>
    <t>% de Variacion Ejecuccion (C=B/A)</t>
  </si>
  <si>
    <t>Variacion (D=A-B)</t>
  </si>
  <si>
    <t>Resultado financiero (1-2)</t>
  </si>
  <si>
    <t>Nota: No es comparativo ya que en el año anterior no se realizo.</t>
  </si>
  <si>
    <t>JULIO</t>
  </si>
  <si>
    <t>AGOSTO</t>
  </si>
  <si>
    <t>Estado de Situación Financiera</t>
  </si>
  <si>
    <t>Activos</t>
  </si>
  <si>
    <t>Activos Corrientes</t>
  </si>
  <si>
    <t>Efectivo Equivalente De Efectivo (Notas 7)</t>
  </si>
  <si>
    <t>Cuentas Por Cobrar A Corto Plazo (Notas 8)</t>
  </si>
  <si>
    <t>Inventarios (Notas 9)</t>
  </si>
  <si>
    <t>Pagos Anticipados (Notas 10)</t>
  </si>
  <si>
    <t>Total Activos Corrientes</t>
  </si>
  <si>
    <t>Activos No Corrientes</t>
  </si>
  <si>
    <t xml:space="preserve"> </t>
  </si>
  <si>
    <t>Propiedad Planta Y Equipo Neto (Nota 11)</t>
  </si>
  <si>
    <t>Total Activos No Corrientes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</si>
  <si>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</si>
  <si>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</si>
  <si>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</si>
  <si>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</si>
  <si>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</si>
  <si>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>Total Pasivos</t>
  </si>
  <si>
    <t>Activo Neto/Patrimonio (Notas 14)</t>
  </si>
  <si>
    <t>Capital</t>
  </si>
  <si>
    <t>Resultado Positivos (Ahorro)/ Negativo (Desahorro) Resultado Periodo</t>
  </si>
  <si>
    <t>Resultado Acumulado</t>
  </si>
  <si>
    <t>Total Activos Netos/Patrimonio Neto</t>
  </si>
  <si>
    <t>SEPTIEMBRE</t>
  </si>
  <si>
    <t>OCTUBRE</t>
  </si>
  <si>
    <t>NOVIEMBRE</t>
  </si>
  <si>
    <t>DICIEMBRE</t>
  </si>
  <si>
    <t xml:space="preserve">       </t>
  </si>
  <si>
    <t>JUNIO-2019</t>
  </si>
  <si>
    <t>Seguros</t>
  </si>
  <si>
    <t>Compensaciones Especiales</t>
  </si>
  <si>
    <t>`08</t>
  </si>
  <si>
    <t>Prestaciones Economicas</t>
  </si>
  <si>
    <t>2</t>
  </si>
  <si>
    <t>1</t>
  </si>
  <si>
    <t>5</t>
  </si>
  <si>
    <t>ARS IDOPRIL</t>
  </si>
  <si>
    <t xml:space="preserve">    </t>
  </si>
  <si>
    <t xml:space="preserve">  </t>
  </si>
  <si>
    <t xml:space="preserve">   </t>
  </si>
  <si>
    <t>SNS PACIENTE COVID-19 SIN ARS</t>
  </si>
  <si>
    <t>Del Ejercicio Terminado al 31 de dICIEMBRE de 2020 y 2019</t>
  </si>
  <si>
    <t>Banco del Reservas Cta. 015-001312-4 Fondo de Ayudas y Donaciones</t>
  </si>
  <si>
    <t>Del Ejercicio Terminado al 31 de Diciembre de 2020 y 2019</t>
  </si>
  <si>
    <t>Del Ejercicio Terminado al 31 de Diciembre de 2020</t>
  </si>
  <si>
    <t>2020</t>
  </si>
  <si>
    <t>2019</t>
  </si>
  <si>
    <t>Ajuste Positivo</t>
  </si>
  <si>
    <t>Ajuste Negativo</t>
  </si>
  <si>
    <t>TOTAL</t>
  </si>
  <si>
    <t>Saldo 2020</t>
  </si>
  <si>
    <t>Detalle</t>
  </si>
  <si>
    <t>Resultado Periodo</t>
  </si>
  <si>
    <t>MOVIMIENTO CAMBIO NETO PATRIMONIO</t>
  </si>
  <si>
    <t>NOTA J# 7   Efectivo y Equivalente de efectivo</t>
  </si>
  <si>
    <t>El detalle del efectivo y equivalentes de efectivo al 31 de Diciembre 2020 y 2019, es como sigue:</t>
  </si>
  <si>
    <t>ACTIVOS</t>
  </si>
  <si>
    <t>Variacion</t>
  </si>
  <si>
    <t>%</t>
  </si>
  <si>
    <r>
      <t>Banco de Reservas Cta.</t>
    </r>
    <r>
      <rPr>
        <b/>
        <sz val="11"/>
        <color theme="1"/>
        <rFont val="Calibri"/>
        <family val="2"/>
        <scheme val="minor"/>
      </rPr>
      <t xml:space="preserve"> 015-001312-4 Fonso Ayudas y Donaciones</t>
    </r>
  </si>
  <si>
    <t>Banco de Reservas Cta. 015-001311-6 Fondo Operacional</t>
  </si>
  <si>
    <t>`</t>
  </si>
  <si>
    <t>Fondo de Caja  (Centro)</t>
  </si>
  <si>
    <t>Fondo de Caja  (Cafeteria)</t>
  </si>
  <si>
    <t>n/a</t>
  </si>
  <si>
    <t xml:space="preserve">La Institucion posee un saldo de efectivo al 31 de Diciembre 2020, por valor de RD$ 318,820,999.99 el cual representa un incremento de un 4.46% sobre </t>
  </si>
  <si>
    <t>el periodo del 2019.</t>
  </si>
  <si>
    <t>Nota # 8   Cuientas por Cobrar a Corto Plazo</t>
  </si>
  <si>
    <t>Detalle de las Cuentas por Cobrar a Corto Plazo al 31 de Diciembre 2020 y 2019:</t>
  </si>
  <si>
    <t>Cuentas por Cobrar ARS  (Nota 8-1)</t>
  </si>
  <si>
    <t>Total Cuentas Por Cobar</t>
  </si>
  <si>
    <t>Al 31 de Diciembre del  2020, vemos que las Cuientas por Cobrar presentan una disminucion de RD$ 79,220,964.96 con relacion al balance que presenta</t>
  </si>
  <si>
    <t>en el 2019. Esto equivale a un (37,58%). Esta variacion esta contemplada en las diferencias que presentamos a continuacion segun detalle:</t>
  </si>
  <si>
    <t>Nota 8-1  Cuentas por Cobrar ARS</t>
  </si>
  <si>
    <t>Detalle de las Cuentas por Cobrar ARS:</t>
  </si>
  <si>
    <t xml:space="preserve">                  </t>
  </si>
  <si>
    <t>son ARS Senasa la cual presenta una variacion negativa de RD$ 45,917,861.01, lo representa un (150.77%) en porcentaje; tambien aparece Primera ARS</t>
  </si>
  <si>
    <t>de Humano con un Valor de RD$ 9,188,545.94 este valor representa un (51.54%) y ARS Salud Segura, la cual no facturo nada en Diciembre 2020, pero en el</t>
  </si>
  <si>
    <t>2019 factura RD$ 19,276,076.01. Estas ARS son las que reflejan los mayores volumenes de la disminucion que presenta este analisis.</t>
  </si>
  <si>
    <t>Nota 8-2:  Otras Cuentas por Cobrar</t>
  </si>
  <si>
    <t>Cuientas por Cobrar Pacientes</t>
  </si>
  <si>
    <t>En este renglon dentdro de  las Cuentas por Cobrar, podemos ver que Otras Cuentas por Cobrar presenta un incremento de un 8.698% en terminos  de</t>
  </si>
  <si>
    <t>porcentaje, el cual representa un aumento de RD$ 724,746.12. Esta Variacion a</t>
  </si>
  <si>
    <t>porcentaje, el cual representa un aumento de RD$ 724,746.12. Esta Variacion la presentamos a continuacion:</t>
  </si>
  <si>
    <t>APOYO BARRIAL</t>
  </si>
  <si>
    <t>Total Otras Cuentas por Cobrar</t>
  </si>
  <si>
    <t>Nota # 9  Inventarios</t>
  </si>
  <si>
    <t>Al 31 de Diciembre del 2020 y al 31 de diciembre del 2019 los inventarios presentan los siguientes balances, para el 2020  presentan el siguiente balance</t>
  </si>
  <si>
    <t>en porcentaje con relacion al periodo del 2019. Veamo el detalle:</t>
  </si>
  <si>
    <t>RD$ 68,577,063.53 y para el 2019 RD$ 61,474,104.33 respectivamente, para el 2020 se aprecia un aumento de RD$ 7,102,959.20, el cual representa un 10.36%</t>
  </si>
  <si>
    <t>Nota # 10    Pagos por Anticipaldos</t>
  </si>
  <si>
    <t>Nota # 11  Propiedad Planta y Equipo</t>
  </si>
  <si>
    <t>La Cuenta de Gastos Pagados por Anticipados tiene al 31 de diciembre del 2020 un balance de RD253,064.8  y para Diciembre 2019 RD$ 759,876.19,lo cual</t>
  </si>
  <si>
    <t>Costo de Adquisición 2018</t>
  </si>
  <si>
    <t>Propiedad, Planta y Equipo Neto 2019</t>
  </si>
  <si>
    <t>…………..</t>
  </si>
  <si>
    <t>PASIVOS</t>
  </si>
  <si>
    <t>Nota # 12  Cuentas por Pagar</t>
  </si>
  <si>
    <t>Al  Cierre del Periodo fiscal correspondiente a Diciembre 2020 las Cuentas por Pagar Cerraron con un Monto de RD$ 59,070,213.43 y para el 31</t>
  </si>
  <si>
    <t>de Diciembre del 2019 su monto fue de RD$ 63,490,977.35; lo que evidencia una disminución de (RD$ 4,420,763.92) para el periodo del 2020,</t>
  </si>
  <si>
    <t>esto representa en terminos porcentuales un (7.36%) de los compromisos contratados a los proveedores, segun el siguiente detalle:</t>
  </si>
  <si>
    <t xml:space="preserve">Las Cuentas por Cobrar ARS, para el 31 de Diciembre del 2020 presentaron una disminucion de RD$70,552,385.51 lo que  representa un (34.86%) en terminos porcentuales, </t>
  </si>
  <si>
    <t>comparadas con las Cuentas por Cobrar ARS del 2019.  Las ARS que presentan los mayores valores negativos de la disminucion son ARS Senasa la cual presenta una variación</t>
  </si>
  <si>
    <t>negativa de RD$ 45,917,861.01, lo representa un (150.77%) en porcentaje; tambien aparece Primera ARS de Humano con un valor de RD$ 9,188,545.94 que es igual al (51.54%)</t>
  </si>
  <si>
    <t>de la disminucion que presenta este analisis.</t>
  </si>
  <si>
    <t>Para el 31 de Diciembre del 2020, los Activos Fijos Cerraron con un balance neto de RD$ 57,727,936.25 y  para el 2019 con RD$140,112,840.32, esta comparación</t>
  </si>
  <si>
    <t xml:space="preserve">muestra una disminución de (RD$ 82,384,904.07 ) en valor  y en terminos porcentuales representa un (142.71%) con relación al periodo anterior, </t>
  </si>
  <si>
    <t>Proveedores de Medicamentos y Material Gastable</t>
  </si>
  <si>
    <t>Variación</t>
  </si>
  <si>
    <t>Descripción</t>
  </si>
  <si>
    <t>Proveedores de Laboratorio</t>
  </si>
  <si>
    <t>Proveedores Otros</t>
  </si>
  <si>
    <t>ARS ARL  (IDOPPRIL)</t>
  </si>
  <si>
    <t>PACIENTES CON FACTURAS PENDIENTE</t>
  </si>
  <si>
    <t>PACIENTES CON ACUERDOS DE PAGO</t>
  </si>
  <si>
    <t>SNS PACIENTES COVID-19 SIN ARS</t>
  </si>
  <si>
    <t>0-30</t>
  </si>
  <si>
    <t>31-60</t>
  </si>
  <si>
    <t>61-MAS</t>
  </si>
  <si>
    <t>MARZO-2020</t>
  </si>
  <si>
    <t>DESCRIPCION</t>
  </si>
  <si>
    <t>Total Cuentas por Cobrar ARS Febrero 2020</t>
  </si>
  <si>
    <t>Nota # 13  Retenciones y Acumulaciones por Pagar</t>
  </si>
  <si>
    <t>Retención ISR</t>
  </si>
  <si>
    <t>Retención 5%</t>
  </si>
  <si>
    <t>Retención 10%</t>
  </si>
  <si>
    <t>Retención 2%</t>
  </si>
  <si>
    <t>Total Retenciones y Acumulaciones por Pagar</t>
  </si>
  <si>
    <t>Al 31 de Diciembre del 2020 y al 31 de Diciembre del 2019, las acumulaciones y retenciones por pagar presentan los balances siguientes RD$ 74,306.54  y</t>
  </si>
  <si>
    <t xml:space="preserve">RD$ 230,263.18, respectivamente esto refleja una disminución de RD$ 65,956.65, lo que representa en terminos porcentuales un (88.76%). La disminuciób </t>
  </si>
  <si>
    <t>se debe a que los pagos se hacen via el SIGEF y esta se realiza de forma simultanea con la operación.</t>
  </si>
  <si>
    <t xml:space="preserve">Nota # 14  Activos Netos/Patrimonio de la Institución </t>
  </si>
  <si>
    <t>Al 31 de Diciembre del 2020 y al 31 de Diciembre del 2019, el patrimonio de la institución tiene un balance de RD$ 597041042.92 y RD$ 733239413.34 respectivamente</t>
  </si>
  <si>
    <t>Nota # 15   Ingresos por transacciones y Contraprestaciones</t>
  </si>
  <si>
    <t>En el periodo fiscal de Diciembre 2020 y en el periodo fiscal de Diciembre 2019, los ingresos alcanzaron los montos de RD$ 395,020,783.54 y RD$762,199,937.05</t>
  </si>
  <si>
    <t>reflejando una disminución de (RD$ 367,179,153.51) equivalente a un (92.95%) en terminos porcentuales. Un factor que afecto fuertemente la comparación</t>
  </si>
  <si>
    <t xml:space="preserve">financiera al periodo del 2020, es la pandemia del Covid-19. </t>
  </si>
  <si>
    <t>Nota # 16   Transferencias y Donaciones</t>
  </si>
  <si>
    <t>Al 31 de Diciembre del 2020 y al 31 de Diciembre del 2019; las transferencias  corrientes recibidas alcanzaron los montos de RD$ 220,146,580.98 y RD$ 230,845,596.77</t>
  </si>
  <si>
    <t>Dicho patrimonio disminuyo en (RD$ 136,198,370.42) lo que representa en terminos porcentuales un (22.81%), el esta compuesto de la manera siguiente:</t>
  </si>
  <si>
    <t>respectivamente, reflejando una disminución de (RD$ 10,699,015.79) equivalente a un (4.86%) en comparación con el año anterior. Veamos el detalle:</t>
  </si>
  <si>
    <t>Transferencias Corrientes Recibidas</t>
  </si>
  <si>
    <t>Total Transferencias Corrientes Recibidas</t>
  </si>
  <si>
    <t>Nota # 17   Sueldos, Salarios, y Beneficios a Empleados (Servicios Personales)</t>
  </si>
  <si>
    <t>Al terminar el periodo fiscal de Diciembre 2022 y Diciembre 31 del 2019,los gastos por conepto de Remuneraciones alcanzaron los montos de RD$ 315,179,693.67</t>
  </si>
  <si>
    <t>y RD$ 397,067,103.16 respectivamente, reflejando una disminución de (RD$ 81,887,409.49) equivalente al (25.98%). En el detalle mostramos las diferencias por</t>
  </si>
  <si>
    <t>partidas individuales:</t>
  </si>
  <si>
    <t>Remuneración all Personal con Caracter Transitorio (Nota 17-1)</t>
  </si>
  <si>
    <t>Sueldo Annual No. 13</t>
  </si>
  <si>
    <t>Total Remuneraciones</t>
  </si>
  <si>
    <t>Nota # 17-1  Remuneración al Personal con Caracter Transitorio</t>
  </si>
  <si>
    <t>Al 31 de Diciembre del periodo fiscal Diciembre 2020 y al 31 de Diciembre del 2019,los gastos por concepto de Remuneracón al Personal con caracter transitorio</t>
  </si>
  <si>
    <t>presentan balance por RD$ 195,943,795.48 y RD$ 178,479,324.02 respectivamente, reflejando un aumento de RD$ 17,464,471.46 equivalente a 8.91% el sueldo del</t>
  </si>
  <si>
    <t>personal contratado aumento debido a la contratación de personal requerido. Veamos el detalle:</t>
  </si>
  <si>
    <t>Sueldo al Personal Contratado y/o Igualado</t>
  </si>
  <si>
    <t>Total Sueldo al Personal Contratado y/o Igualado</t>
  </si>
  <si>
    <t>Nota # 17-2 Prestaciones Económicas</t>
  </si>
  <si>
    <t>Al 31 de Diciembre del 2020 y al 31 de Diciembre del 2019, los gastos por Prestaciones Económicas presenta balances por RD$ 1,635,834.89 y RD$1,103,353.54 ,</t>
  </si>
  <si>
    <t>Respectivamente, reflejando un aumento de RD$ 532,481.35 equivalente a un 32.55%, debido a la desvinculación de varios empleados. Veamos el detalle de</t>
  </si>
  <si>
    <t>la variación:</t>
  </si>
  <si>
    <t>Prestación Laboral por Desvinculación</t>
  </si>
  <si>
    <t>Proporción de Vacaciones no Disfrutadas</t>
  </si>
  <si>
    <t>Prestación Económica</t>
  </si>
  <si>
    <t>Total Prestaciones Económicas</t>
  </si>
  <si>
    <t>Nota 17-3    Compensación</t>
  </si>
  <si>
    <t>Al 31 de Diciembre del 2020 y al 31 de Diciembre del 2019, los gastos por concepto de Compensación presentan balances por RD$ 73,671,658.33 y RD$ 171,974,420.66</t>
  </si>
  <si>
    <t>respectivamente, reflejando una disminución por (RD$ 101,302,762.33), equivalente a un (137.51%), segun el detalle siguiente:</t>
  </si>
  <si>
    <t>Total Compensación</t>
  </si>
  <si>
    <t>Nota 17-4  Contribución a la Seguridad Social y Riesgo Laboral</t>
  </si>
  <si>
    <t>Al 31 de Diciembre del 2020 y al 31 de Diciembre del 2019, los gastos por concepto de contribuciones a la seguridad social,presentan los siguientes balances, para el</t>
  </si>
  <si>
    <t>año 2020 RD$ 28,387,218.30 y para el 2019 RD$ 26,881,809.74 respectivamente, mostrando un aumento de RD$ 1,505,408.56 equivalente a un 5.30%, segun el detalle</t>
  </si>
  <si>
    <t>siguiente:</t>
  </si>
  <si>
    <t>Total Contribución a la Seguridad Social y Riesgo Laboral</t>
  </si>
  <si>
    <t>Nota # 18  Subvenciones y Otros Pagos por Transferencias</t>
  </si>
  <si>
    <t>Al 31 de Diciembe del 2020 y al 31 de Diciembre del 2019, los Gastos por concepto de subvenciones por transferencias incurridas durante estos periodos, presentan</t>
  </si>
  <si>
    <t>detalle:</t>
  </si>
  <si>
    <t>Total Transferencias y Donaciones Corrientes</t>
  </si>
  <si>
    <t>balances por RD$ 400,755.40 y (RD$926,922.15) respectivamente, mostrando una disminución de (RD$ 526,166.75) equivalente a un  (131.29%) segun el siguiente</t>
  </si>
  <si>
    <t>Nota # 19  Suministro y Materiales de Consumo</t>
  </si>
  <si>
    <t>Durante los periodos fiscales de Diciembre 2020 y Diciembre 2019, los gastos por concepto de materiales y suministros incurridos durante estos periodos presentan los</t>
  </si>
  <si>
    <t xml:space="preserve">balances de RD$ 218,838,299.97 y RD$ 451,844,302.45 respectivamente, mostrando una disminución de (RD$ 233,006,002.48), equivalente a un (106.47%) con </t>
  </si>
  <si>
    <t>relación al periodo anterior, segun detalle:</t>
  </si>
  <si>
    <t>Nota # 20  Gastos de Depreciación y Amortización</t>
  </si>
  <si>
    <t>Al 31 de Diciembre del periodo fiscal del 2020 yal 31 de Diciembre del 2019, los gastos por concepto de depreciación y amortización incurridos durante estos</t>
  </si>
  <si>
    <t>periodos presentan balances de RD$ 14,837,557.66 y RD$ 24,001,454.00 respectivamente, mostrando una disminución de (RD$ 9,163,896.34) equivalente a</t>
  </si>
  <si>
    <t>un  (61.76%) con relación al periodo anterior, segun el siguiente detalle:</t>
  </si>
  <si>
    <t>Nota # 21   Otros Gastos</t>
  </si>
  <si>
    <t>Al 31 de Diciembre del 2020 y al 31 de Diciembre del 2019, los gastos por concepto de servicios no personales incurridos durante estos periodos presentan balances de</t>
  </si>
  <si>
    <t>Ver el siguiente detalle:</t>
  </si>
  <si>
    <t>RD$ 33,069,341.47 y RD$ 45,550,259.13 respectivamente  mostrando una disminución de (RD$12,480,917.66) equvalente a un (37.74%) con relación al periodo anterior</t>
  </si>
  <si>
    <t>Nota # 1  Entidad Económica</t>
  </si>
  <si>
    <t xml:space="preserve">                                                                                           HISTORIA DEL CENTRO CARDIO NEURO-OFTALMOLOGICO Y TRASPLANTE  (cecanot)</t>
  </si>
  <si>
    <t>A partir del 22 de abril del 2008 se pone en funcionamiento el Centro Cardio Neuro-Oftalmológico y trasplante</t>
  </si>
  <si>
    <t>En el marco de impulsar el ejercicio, avance y desarrollo de la medicina en el país, así como el sustento de su</t>
  </si>
  <si>
    <t>práctica, el Hospital "Dr. Luís Eduardo Aybar" el cual fue inaugurado el 20 de abril del año 1946, ha jugado un</t>
  </si>
  <si>
    <t>papel transcedental, siendo el Hospital Universitario de mayor cobertura asistencial, docente y de investigación</t>
  </si>
  <si>
    <t xml:space="preserve"> de la República Dominicana.</t>
  </si>
  <si>
    <t>El Hospital " Dr. Luís Eduardo Aybar" en su afán tesonero de continuar a la vanguardia de sus servicios y fomación</t>
  </si>
  <si>
    <t>de recursos en salud, ha provocado la toma de conciencia al interior de las autoridades de Salud Pública,  de la</t>
  </si>
  <si>
    <t>necesidad de crear centros de asistencia especializados, con el auxilio y la asistencia de las últimas innovaciones</t>
  </si>
  <si>
    <t>tecnológicas y científicas que satisfagan las carencias de la ciuidadanía.</t>
  </si>
  <si>
    <t>Atendiendo a esa objetiva realidad en el seno de un grupo de médicos científicos del Hospital Ayba, se visualizó</t>
  </si>
  <si>
    <t>la idea de adecuar un nuevo ejercicio de acciones medico con la creación de un sofisticado centro de Oftalmología</t>
  </si>
  <si>
    <t>y neurocirugía. Estos científicos piioneros del hoy CECANOT  estuvieron representados por el Dr. Manuel Eduardo</t>
  </si>
  <si>
    <t>Valdez Guerrero.</t>
  </si>
  <si>
    <t>(CECANOT) centro especializado para la satisfacción y Significativa utilidad tanto para las presentes como para las</t>
  </si>
  <si>
    <t>futuras generaciones.</t>
  </si>
  <si>
    <t>CECANOT es uno de los centros que integra la ciudad sanitaria 'Dr. Luís Eduardo Aybar", el cual tiene como objetivo</t>
  </si>
  <si>
    <t>fundamental brindarle servicios de cirugía, oftalmología y trasplante a la población que requieran los mismos, en</t>
  </si>
  <si>
    <t>las especialidades médicas de cirugía cardiovascular, reurocirugía, oftalmología, hemodiálisis y  trasplante.</t>
  </si>
  <si>
    <t>Este centro ofrece asistencias de consultas a pacientes ambulatorios y hospitalizados, servicios de internamiento</t>
  </si>
  <si>
    <t>pre y post quirúrgicos y cuidados intensivos (UCI).</t>
  </si>
  <si>
    <t>CECANOT se caracteriza por brindar servicios quirúrgicos especializados con procedimientos técnicos de alta calidad</t>
  </si>
  <si>
    <t>que por su  elevados precios están vedados a una mayoría del pueblo dominicano y entre otras vertientes contribuir</t>
  </si>
  <si>
    <t xml:space="preserve">a la educación, formación e investigación científica de médicos especializados y residentes en las diferentes áreas </t>
  </si>
  <si>
    <t>que maneja el centro.</t>
  </si>
  <si>
    <t>Misión: Brindar servicios de salud especializados con calidad, a todos los ciudadanos en igualdad de condiciiones</t>
  </si>
  <si>
    <t>Visión: Ser el mejor centro especializado en servicios quirúrgicos y trasplante del Caribe,</t>
  </si>
  <si>
    <t>Filosofía Institucional: Ofrecer servicios humanizados, con optimización, equidad y equipos de alta tecnología a todo</t>
  </si>
  <si>
    <t>el ciudadano que lo necesite.</t>
  </si>
  <si>
    <t>Objetivos Especificos:</t>
  </si>
  <si>
    <t>Conservar incrementar el nivel de calidad de la atención brindada.</t>
  </si>
  <si>
    <t>Optimizar los servicios de las diferentes especialidades mediante la adquisición de nueva Tecnología en cuanto a</t>
  </si>
  <si>
    <t>equipos médicos se refiere.</t>
  </si>
  <si>
    <t>Continuar con los operativos médicos en todo el territorio nacional.</t>
  </si>
  <si>
    <t>MARCO LEGAL</t>
  </si>
  <si>
    <t>El mismo obedece a las pautas y normas consignadas en las leyes y reglas del área de salud y del ámbito público</t>
  </si>
  <si>
    <t>administrativo. Estas leyes y normas que pautan el accionar legal del Centro Cardio Neuro-Oftalmológico y Trasplante</t>
  </si>
  <si>
    <t>son los siguientes:</t>
  </si>
  <si>
    <t>Ley Orgánica de la Secretaría de Estado No. 4378 del 10 de febrero del 19565</t>
  </si>
  <si>
    <t>Ley General de Salud (Ley No. 42-01) de fecha 8 de marzo del 2001, puesta en vigencia 8 de septiembre del 2001.</t>
  </si>
  <si>
    <t>Ley de Seguridad Social No. 87-01 de fecha 5 de abril del año 2001.</t>
  </si>
  <si>
    <t>Ley No. 68-03 de fecha 19 de febrero del 2003, que crea el Colegio Médico Dominicano.</t>
  </si>
  <si>
    <t>Ley No. 41-08 de Fución Pública y crea la Secretaría de Estado de Administración Pública de fecha 16 de enero de;l 2008.</t>
  </si>
  <si>
    <t>Deroga las leyes No. 14-91 de Servicio Civil y Carrera Administrativa y la ley 120-01 sobre el código de Etica del Servidor</t>
  </si>
  <si>
    <t>Público.</t>
  </si>
  <si>
    <t>Decreto No. 1110-01 de fecha 8 de noviembre del 2001 que crea la Ciudad Sanitaria "Luís Eduardo Aybar".</t>
  </si>
  <si>
    <t>Decreto No. 434-07 que establece el Reglamento General de los Centros Especializados de Atención en Salud de las redes</t>
  </si>
  <si>
    <t>Públicas, deroga el Reglamento No. 9033 para la aplicación de la Ley de Organización del Cuerpo Médico de los Hospitales</t>
  </si>
  <si>
    <t>y el Reglamento No. 351-99 que  crea el Reglamento de Hospitales y sus Modificaciones.</t>
  </si>
  <si>
    <t>Decreto 173-08 de fecha 24 de marzo del 2008, que denomina Centro Cardio Neuro-Oftalmológico y Trasplante de la Ciiudad</t>
  </si>
  <si>
    <t>Sanitaria "Dr. Luís E. Aybar", a la unidad de cirugía Centro Cardio-Neuro Oftalmológico.</t>
  </si>
  <si>
    <t>Actualmente la gestión del CECANOT está compuesta por las siguientes autoridades:</t>
  </si>
  <si>
    <t>Dr. Felix Lorenzo Valdez Suero</t>
  </si>
  <si>
    <t>Dr. Bolivar Alcantara</t>
  </si>
  <si>
    <t>Sub-Director General</t>
  </si>
  <si>
    <t>Lic. Blas Andrade Cruz Duran</t>
  </si>
  <si>
    <t>Administrador Financiero</t>
  </si>
  <si>
    <t>Nota # 2  Base de Presentación</t>
  </si>
  <si>
    <t>Los Estados Financieros han sido preparados de conformidad con las normas internacionales de Contabilidad del Sector Público</t>
  </si>
  <si>
    <t>(NICSP), adoptadas por la Dirección General de Contabilidad Gubernamental de la República Dominicana (Digecog).</t>
  </si>
  <si>
    <t>"Presentación de Información del Presupuesto en los Estados Financieros"</t>
  </si>
  <si>
    <t>El Centro  Cardio  Neuro-Oftalmológico  y  Trasplante  (CECANOT) presenta su presupuesto aprobado según la base contable de</t>
  </si>
  <si>
    <t>efectivo y los  Estados  Financieros  sobre la base de acumulación (o devengo), conforme a las estipulaciones de lals NICESP 24</t>
  </si>
  <si>
    <t>El presupuesto se aprueba según la base contable de efectivo siguiendo una clasificación de pago por funciones. El presupuesto</t>
  </si>
  <si>
    <t>aprobado cubre el período fiscal que va desde el 1 de enero hasta el 30 de junio del 2020 y es incluído como información Suplemen</t>
  </si>
  <si>
    <t>taria en los Estados Financieros y sus Notas correspondientes al corte semestral 2020.</t>
  </si>
  <si>
    <t>La emisión y aprobación final de los Estados Financieros debe ser autorizada por el funcionario de más alto nivel.</t>
  </si>
  <si>
    <t>Nota # 3  Moneda Funcional y de Presentación</t>
  </si>
  <si>
    <t>Los Estados Financieros están presentados en pesos dominicanos (RD$)  moneda de curso legal en República Dominicana.</t>
  </si>
  <si>
    <t>Nota # 4  Uso de Estimados y Juicios</t>
  </si>
  <si>
    <t xml:space="preserve">La preparación de los Estados Financieros de Conformidad con las NICSP requiere que la administración realice juicios estimaciones y </t>
  </si>
  <si>
    <t>resultados reales pueden diferir de estas estimaciones.</t>
  </si>
  <si>
    <t>Las estimaciones  y  supuestos  relevantes  son  revisados  regularmente, las cuales  son   reconocidas  prospectivamente.</t>
  </si>
  <si>
    <t>Juicios</t>
  </si>
  <si>
    <t>La información sobre juicios realizados en la aplicación de Políticas Contables que tienen el efecto más importante sobre los montos</t>
  </si>
  <si>
    <t>reconocidos en el Estado de Rendimientos Financiero se describe en la Nota referente a gastos generales y administrativos (alquileres)</t>
  </si>
  <si>
    <t>se determina si un acuerdo contiene un arrendamiento y su clasificación.</t>
  </si>
  <si>
    <t xml:space="preserve">supuestos que afectan la aplicaciónh de las  Políticas  Contables y los montos de activos,  pasivos,  ingresos  y  gastos reportados.  Los </t>
  </si>
  <si>
    <t>Supuesto e Incertidumbre en las Estimaciones</t>
  </si>
  <si>
    <t>La información sobre los supuestos e incertidumbre de estimación que contiene un riesgo significativo de resultar en un ajuste material</t>
  </si>
  <si>
    <t xml:space="preserve">en el corte semestral del 30 de junio de 2020 y 2019 se incluye en la Nota referente a compromisos y contingencias; reconocimiento y </t>
  </si>
  <si>
    <t>medición de contingencias; supuestos claves relacionados con la probabilidad y magnitud de una salida de recursos económicos.</t>
  </si>
  <si>
    <t>Medición de los Valores Razonables.</t>
  </si>
  <si>
    <t>La entidad cuenta con un marco de control establecido en relación con el calculo de los valores razonables y tiene la responsabilidad general</t>
  </si>
  <si>
    <t>por la supervisión de todas las mediciones significativas de este, incluyendo los de Niveles 3.</t>
  </si>
  <si>
    <t xml:space="preserve">Cuando se mide el valor razonable de un activo o pasivo, el Centro Cardio Neuro-Oftalmológico y Trasplante (CECANOT) utiliza siempre que </t>
  </si>
  <si>
    <t>sea posible, precios cotizados en un mercado activo.</t>
  </si>
  <si>
    <t>Si el mercado para un activo o pasivo no es activo, la entidad establecerá el valor razonable utilizando una técnica de valoración.  Con esta se</t>
  </si>
  <si>
    <t>busca establecer cual será el precio de una transacción realizada a la fecha de medición.</t>
  </si>
  <si>
    <t>Los valores se clasifican en niveles distintos dentro de una jerarquía como sigue:</t>
  </si>
  <si>
    <t>Nivel 1: Precios (no-ajustados) en mercados activos para activos o pasivos idénticos.</t>
  </si>
  <si>
    <t>Nivel 2:  Datos diferentes de los precios cotizados incluídos en el Nivel 1 que sean observados para el activo o pasivo, ya sea directa (precios)</t>
  </si>
  <si>
    <t>o indirectamente (derivados de los precios).</t>
  </si>
  <si>
    <t>Nivel 3:  Datos para el activo o pasivo que no se basan en datos de mercados observables (variables no observables).</t>
  </si>
  <si>
    <t xml:space="preserve">Si las variables usadas para medir el valor razonable de un activo o pasivo pueden clasificarse en niveles distintos de la jerarquía del valor </t>
  </si>
  <si>
    <t xml:space="preserve">razonable, entonces la medición se clasifica en su totalidad en el mismo nivel de la jerarquía que la variable de nivel más bajo que sea </t>
  </si>
  <si>
    <t>significativa para la medición total.</t>
  </si>
  <si>
    <t>El Centro Cardio Neuro-Oftalmológico y Trasplante (CECANOT) reconoce las transferencias entre los niveles de la jerarquía del valor razonable</t>
  </si>
  <si>
    <t>al final del periodo sobre el que se informa durante el que ocurrió el cambio.</t>
  </si>
  <si>
    <t>Nota # 5 Base de Medición</t>
  </si>
  <si>
    <t xml:space="preserve">Los Estados Financieros se elaboran sobre la base del costo histórico, a excepción de los terrenos y edificios los cuales son valuados mediante </t>
  </si>
  <si>
    <t>tasaciones realizadas por un experto externo.</t>
  </si>
  <si>
    <t>Nota # 6  Resumen de Políticas Contables Significativas</t>
  </si>
  <si>
    <t>Aquí se detalla todo lo relacionado con las principales Políticas Contables significativas como podría ser, sin que esta enumeración se considere</t>
  </si>
  <si>
    <t>limitativa.</t>
  </si>
  <si>
    <t>Disponibilidades</t>
  </si>
  <si>
    <t>La moneda de curso legal es el Peso Dominicano (RD$) y se expresa a su valor nominal.  Por otra parte la moneda extranjera se valúa por la tasa</t>
  </si>
  <si>
    <t>esa fecha.</t>
  </si>
  <si>
    <t>de cambio para la compra vigente, al momento de cada transacción y al cierre de cada ejercicio, por su cotización al tipo de cambio comprado a</t>
  </si>
  <si>
    <t>Inversiones Financieras</t>
  </si>
  <si>
    <t xml:space="preserve">La adquisición de Titulos y Valores Negociables se registraran por su valor de costo o adquisición a la fecha de presentación de los Estados </t>
  </si>
  <si>
    <t>Financieros, se deben valuar a su valor de costo.</t>
  </si>
  <si>
    <t>Las inversiones a plazo fijo o indefinidos, no vencidos al ciere del ejercicio fiscal, se valúan por su valor nominal más los intereses devengados</t>
  </si>
  <si>
    <t xml:space="preserve"> hasta la fecha.</t>
  </si>
  <si>
    <t>Cuentas y Documentos por Cobrar</t>
  </si>
  <si>
    <t>Las cuentas y documentos por cobrar a corto plazo son valuados conforme a lsa acareencias que tenga la entidad económica hacia los terceros</t>
  </si>
  <si>
    <t>según surjan de los derechos u obligaciones resultantes de cada transacción.</t>
  </si>
  <si>
    <t>Bienes de Cambio en General</t>
  </si>
  <si>
    <t>Los bienes de cambio o de consumo se valúan al costo de adquisición producción en que se incurre, para obtener el bién.  El costo de adquisición</t>
  </si>
  <si>
    <t xml:space="preserve">está constituido por los montos de las erogaciones efectuadas para su compra o producción y todos los gastos incurrridos para situarlos en el </t>
  </si>
  <si>
    <t>lugar de destino, ajustado a las condiciones de su uso o venta.</t>
  </si>
  <si>
    <t>Los costos por intereses relacionados con el financiamiento de la adquisición o producción en que se incurre, para obtener el bién, no forman</t>
  </si>
  <si>
    <t>parte del costo mismo.  Por otra parte, las bonificaciones (descuentos) por pronto pago son consideradas al determinar el costo de los mismos.</t>
  </si>
  <si>
    <t>Bienes de  Uso y Depreciación</t>
  </si>
  <si>
    <t xml:space="preserve">Las inversiones en bienes de uso se valúan por su costo de adquisición, de construcción o por un valor equivalente (costo corriente) cuando se </t>
  </si>
  <si>
    <t>reciben sin contraprestación.  El costo de adquisición incluye el precio neto pagado por los bienes, más todos los gastos necesarios para colocar</t>
  </si>
  <si>
    <t>el bién en lugar y condiciones de uso.</t>
  </si>
  <si>
    <t>Los costos de construcción incluyen los costos directos e indirectos, incluyendo los costos de administración de la obra, incurridos y devengados</t>
  </si>
  <si>
    <t>durante el periodo efectivo de la construción.</t>
  </si>
  <si>
    <t>Los bienes recibidos en donación son contabilizados a valor corriente, representado por el importe de efectivo y otras partidas equivalentes,</t>
  </si>
  <si>
    <t>que debería pagarse para adquirirlo en las condiciones en que se encuentren.</t>
  </si>
  <si>
    <t>Los bienes adquiridos en monedas extranjeras se registran al tipo de cambio vigente a la fecha de la adquisición.</t>
  </si>
  <si>
    <t>Los costos de mejoras, reparaciones mayores y rehabilitaciones que extienden la vida útil de los Bienes de Uso, se capitalizan en forma conjunta</t>
  </si>
  <si>
    <t>con el bién existente o por separado cuando sea aconsejable, de acuerdo con la naturaleza de la operación realizada y del bién que se trate.</t>
  </si>
  <si>
    <t xml:space="preserve">Los bienes inmuebles son contabilizados de acuerdo con la última valuación fiscal conocida, y de no resultar factible su obtención, se recurrirá </t>
  </si>
  <si>
    <t>a su tasación.</t>
  </si>
  <si>
    <r>
      <t xml:space="preserve">El método de cálculo para el registro de la </t>
    </r>
    <r>
      <rPr>
        <b/>
        <sz val="11"/>
        <color theme="1"/>
        <rFont val="Calibri"/>
        <family val="2"/>
        <scheme val="minor"/>
      </rPr>
      <t>Depreciación es el de Linea Recta</t>
    </r>
    <r>
      <rPr>
        <sz val="11"/>
        <color theme="1"/>
        <rFont val="Calibri"/>
        <family val="2"/>
        <scheme val="minor"/>
      </rPr>
      <t>, adoptado como método generall aplicable a todo el Secor Público,</t>
    </r>
  </si>
  <si>
    <t>a los fines de su consolidaci162n. El uso de este método representa la distribución sistemática y racional del costo total de cada partida del</t>
  </si>
  <si>
    <t>activo fijo tangible, durante el periodo de su aprovechamiento económico, el mismo será aplicado a todos los bienes de uso de dominio publico</t>
  </si>
  <si>
    <t>con excepción de los terrenos.</t>
  </si>
  <si>
    <t>Bienes Intangibles</t>
  </si>
  <si>
    <t>el caso de la donación.</t>
  </si>
  <si>
    <r>
      <t xml:space="preserve">Para la </t>
    </r>
    <r>
      <rPr>
        <b/>
        <sz val="11"/>
        <color theme="1"/>
        <rFont val="Calibri"/>
        <family val="2"/>
        <scheme val="minor"/>
      </rPr>
      <t>Depreciación</t>
    </r>
    <r>
      <rPr>
        <sz val="11"/>
        <color theme="1"/>
        <rFont val="Calibri"/>
        <family val="2"/>
        <scheme val="minor"/>
      </rPr>
      <t xml:space="preserve"> de esta categoría de bienes se aplica el mismo método de linea recta.</t>
    </r>
  </si>
  <si>
    <t>Inversiones Corrientes e Inversiiones a Largo Plazo</t>
  </si>
  <si>
    <t>Las inversiones con cotización  en mercados de valores y las participaciones permanentes en sociedades en la que se ejerza influencia significativa</t>
  </si>
  <si>
    <t>Estas partidas de los activos no corrientes se registran por su valor de adquisición o su valor corriente cuando no existe contraprestación, como es</t>
  </si>
  <si>
    <t>se valuarán a sus respectivas cotizaciones a la fecha de cierre del periodo, exceptuando los gastos estimados de venta e impuestos.</t>
  </si>
  <si>
    <t xml:space="preserve">Cuando se trate de participaciones permanentes en las que se ejerza control o influencia significativa en las decisiones, se valuarán a su valor </t>
  </si>
  <si>
    <t>patrimonial proporcional.</t>
  </si>
  <si>
    <t>Si el poder Ejecutivo, realiza transferencias de capital a instituciones del Gobierno Central, sin tenerse el detalle del tipo de inversión realizada,</t>
  </si>
  <si>
    <t>seran catalogadas como un componente del activo fijo, sujetas a conciliación y reclasificación.</t>
  </si>
  <si>
    <t>Asimismo, si durante el periodo se realizan transferencias de capital a instituciones descentralizadas y empresas públicas, estas serán clasificadas</t>
  </si>
  <si>
    <t>y registradas como Participaciones y Aportes de Capital, sujetas a verificación a través de la consolidación delos Estados Financieros.</t>
  </si>
  <si>
    <t>Normas de Valuación de Pasivos y Patrimonio</t>
  </si>
  <si>
    <t>Deudas</t>
  </si>
  <si>
    <t>Los pasivos por concepto de deudas se contabilizan por el valor de los bienes adquiridos y los servicios recibidos, deduciendo los descuentos</t>
  </si>
  <si>
    <t>comerciales obtenidos, si aplican.</t>
  </si>
  <si>
    <t xml:space="preserve">Los pasivos asumidos por concepto de préstamos en efectivo por la colocación de títulos de deuda pública y por contratos de préstamos con </t>
  </si>
  <si>
    <t>Organismos Internacionales, Bilaterales y Multilaterales de Crédito, son registrados por el importe del valor nominal de los títulos colocados y</t>
  </si>
  <si>
    <t>por los tramos efectivamente desenbolsados de los contratos de préstamos suscritos.</t>
  </si>
  <si>
    <t>Los pasivo en moneda extranjera se valúan de acuerdo con la cotización de la moneda de que se trate, o al tipo de cambio comprado a la fecha</t>
  </si>
  <si>
    <t>vigente a esa fecha.</t>
  </si>
  <si>
    <t>del ingreso de los fondos.  Al cierre del ejercicio contable los montos no pagados o pendientes de pago se ajustan a ala cotización de la moneda</t>
  </si>
  <si>
    <t>Pasivo Diferidos</t>
  </si>
  <si>
    <t>Los pasivos diferidos están valuados al valor nominal de los anticipos recibidos por obligaciones que deberán cumplirse en ejercicios siguientes.</t>
  </si>
  <si>
    <t>Provisiones</t>
  </si>
  <si>
    <t>Las provisiones se determinan como el resultado de estimaciiones basadas en la experiencia sobre la incobrabilidad o riesgo del rubro de que se</t>
  </si>
  <si>
    <t>trate.</t>
  </si>
  <si>
    <t>Patrimonio</t>
  </si>
  <si>
    <r>
      <t xml:space="preserve">La partida de Patrimonio está conformada por el rubro de </t>
    </r>
    <r>
      <rPr>
        <b/>
        <sz val="11"/>
        <color theme="1"/>
        <rFont val="Calibri"/>
        <family val="2"/>
        <scheme val="minor"/>
      </rPr>
      <t xml:space="preserve">Patrimonio Público Dominicano, </t>
    </r>
    <r>
      <rPr>
        <sz val="11"/>
        <color theme="1"/>
        <rFont val="Calibri"/>
        <family val="2"/>
        <scheme val="minor"/>
      </rPr>
      <t>derivada de la diferencia entre el total del activo y del</t>
    </r>
  </si>
  <si>
    <t>pasivo de la entidad económica denominada "Gobierno Central", más el ahorro o desahorro acumulado proveniente de los sucesivos ejercicios</t>
  </si>
  <si>
    <r>
      <t xml:space="preserve">fiscales, así como las donaciones y contribuciones de capital internas  y externas recibidas, el </t>
    </r>
    <r>
      <rPr>
        <b/>
        <sz val="11"/>
        <color theme="1"/>
        <rFont val="Calibri"/>
        <family val="2"/>
        <scheme val="minor"/>
      </rPr>
      <t>Patrimonio Institucional</t>
    </r>
    <r>
      <rPr>
        <sz val="11"/>
        <color theme="1"/>
        <rFont val="Calibri"/>
        <family val="2"/>
        <scheme val="minor"/>
      </rPr>
      <t xml:space="preserve"> proveniente de las instuitu-</t>
    </r>
  </si>
  <si>
    <r>
      <t xml:space="preserve">ciones </t>
    </r>
    <r>
      <rPr>
        <b/>
        <sz val="11"/>
        <color theme="1"/>
        <rFont val="Calibri"/>
        <family val="2"/>
        <scheme val="minor"/>
      </rPr>
      <t>Descentralizadas o Autónomas y de la Seguridad Social y el Capital Público</t>
    </r>
    <r>
      <rPr>
        <sz val="11"/>
        <color theme="1"/>
        <rFont val="Calibri"/>
        <family val="2"/>
        <scheme val="minor"/>
      </rPr>
      <t>, el cual consiste en el registdro de carácter transitorio que refleja</t>
    </r>
  </si>
  <si>
    <r>
      <t xml:space="preserve">los movimientos positivos con respecto a la construcción de bienes de dominio público, de la Administración Central de los </t>
    </r>
    <r>
      <rPr>
        <b/>
        <sz val="11"/>
        <color theme="1"/>
        <rFont val="Calibri"/>
        <family val="2"/>
        <scheme val="minor"/>
      </rPr>
      <t>Organismos Descentra-</t>
    </r>
  </si>
  <si>
    <r>
      <rPr>
        <b/>
        <sz val="11"/>
        <color theme="1"/>
        <rFont val="Calibri"/>
        <family val="2"/>
        <scheme val="minor"/>
      </rPr>
      <t>lizados y de las instituciones de la Seguridad Social</t>
    </r>
    <r>
      <rPr>
        <sz val="11"/>
        <color theme="1"/>
        <rFont val="Calibri"/>
        <family val="2"/>
        <scheme val="minor"/>
      </rPr>
      <t xml:space="preserve">, que conforman el denominado </t>
    </r>
    <r>
      <rPr>
        <b/>
        <sz val="11"/>
        <color theme="1"/>
        <rFont val="Calibri"/>
        <family val="2"/>
        <scheme val="minor"/>
      </rPr>
      <t>Patrimonio Público</t>
    </r>
    <r>
      <rPr>
        <sz val="11"/>
        <color theme="1"/>
        <rFont val="Calibri"/>
        <family val="2"/>
        <scheme val="minor"/>
      </rPr>
      <t>.</t>
    </r>
  </si>
  <si>
    <t>Las transferencias de capital recibidas en efectivo, procedentes del Sector Privado  y del Sector Publico, se registran y exponen a su valor nominal,</t>
  </si>
  <si>
    <t>y en los casos de transferencias de bienes, por su valor de mercado.</t>
  </si>
  <si>
    <t>Las donaciones de capital recibidas en efectivo, procedentes de Gobiernos Extranjeros, Organismos Internacionales y del Sector Privado, recibidas</t>
  </si>
  <si>
    <t>en moneda extranjera, se registran al tipo de cambio vigente a la fecha del ingreso de los fondos.</t>
  </si>
  <si>
    <t>Los resultados de la cuenta corriente expresan las diferencias entre los indgresos y los egresos obtenidos a traves de la gestion fiscal de la entidad</t>
  </si>
  <si>
    <t>economica, para el ejercicio contable de que se trate.</t>
  </si>
  <si>
    <t>Reconocimientoi de Ingresos y Gastos</t>
  </si>
  <si>
    <t xml:space="preserve">Los ingresos son reconocidos en los resultados del ejercicio a medida que se perciben, y los gastos se reconocen como devengado cuando los </t>
  </si>
  <si>
    <t>libramientos para pagos son aprobados por parte de la Contraloria Gdeneral de la Republica.</t>
  </si>
  <si>
    <t>Ganancias y Perdidas en Cambio y Saldos en Moneda Extranjera</t>
  </si>
  <si>
    <t>Los activos y psasivos en moneda extranjera se registran al tipo de cambio de la fecha en que se realizan las transacciones y se expresan en pesos</t>
  </si>
  <si>
    <t>dominicanos al cierre del periodo contable,  utilizando la tasa oficial del Banco Central de la Republica Dominicana a esa fecha.</t>
  </si>
  <si>
    <t>Cuentas de Orden</t>
  </si>
  <si>
    <t>El Balance General, presenta cuentas de orden deudoras y acreedoras en las cuales se exponen los valores registrados por concepto de transacciones</t>
  </si>
  <si>
    <t>correspondientes a intituciones descentralizadasl, relativas a bienes inmuebles, construcciones, deuda publica y desembolsos de prestamos avalados</t>
  </si>
  <si>
    <t>por el Gobierno Central.</t>
  </si>
  <si>
    <t>Las Cuentas por Cobrar ARS, para el 31 de Diciembre del 2020 presentaron una disminucion de RD$70,552,385.51 lo que  representa un (34.86%)</t>
  </si>
  <si>
    <t xml:space="preserve">en terminos porcentuales,comparadas con las Cuentas por Cobrar ARS del 2019.  Las ARS que presentan los mayores valores negativos de la </t>
  </si>
  <si>
    <t>Diciembre 2020, pero en el 2019 presenta un monto de (RD$ 19,276,076.01) de la disminucion que presenta este analisis.</t>
  </si>
  <si>
    <t xml:space="preserve">disminucion son ARS Senasa la cual tiene una variacion negativa de (RD$ 45,917,861.01), lo representa un (150.77%) en porcentaje; tambien </t>
  </si>
  <si>
    <t>aparece Primera ARS de Humano con valor de (RD$ 9,188,545.94) equivalente a (51.54%), otra es la ARS Salud Segura, la cual no facturo nada en</t>
  </si>
  <si>
    <t>terminos de porcentaje, el cual representa un aumento de RD$ 724,746.12. Esta Variacion la presentamos a continuacion:</t>
  </si>
  <si>
    <t xml:space="preserve">En este renglon dentdro de  las Cuentas por Cobrar, podemos ver que Otras Cuentas por Cobrar presenta un incremento de un 8.698% en </t>
  </si>
  <si>
    <t>Al 31 de Diciembre del 2020, los Activos Fijos Cerraron con un balance neto de RD$ 57,727,936.25 y  para el 2019 con RD$140,112,840.32, esta comparación</t>
  </si>
  <si>
    <t>Dr. Felix L. Valdez S.</t>
  </si>
  <si>
    <t>Licda. Wanda Zarzuela</t>
  </si>
  <si>
    <t>Encargada Fiscalizacion</t>
  </si>
  <si>
    <t xml:space="preserve">La Institucion posee un saldo de efectivo al 31 de Diciembre 2020, por valor de RD$ 338,063,345.02 el cual representa un incremento de un 9.90% sobre </t>
  </si>
  <si>
    <t>otra es la ARS Salud Segura, la cual no facturo nada en Diciembre 2020, pero en el 2019 tuvo un monto de RD$ 19,276,076.01. Estas ARS son las que reflejan los montos mayores</t>
  </si>
  <si>
    <t>En este renglon dentdro de  las Cuentas por Cobrar, podemos ver que Otras Cuentas por Cobrar presenta un incremento de un 8.68% en terminos  de</t>
  </si>
  <si>
    <t>RD$ 63,749,774.41 y para el 2019 RD$ 61,474,104.33 respectivamente, para el 2020 se aprecia un aumento de RD$ 2,275,670.08, el cual representa un 3.57%</t>
  </si>
  <si>
    <t>refleja una disminucion de RD$ 506,811.39 que representa un (200.27%) en porcentaje con respecto al 2019.</t>
  </si>
  <si>
    <t>esto representa en terminos porcentuales un (7.48%) de los compromisos contratados a los proveedores, segun el siguiente detalle:</t>
  </si>
  <si>
    <t xml:space="preserve">RD$ 140,263.18, respectivamente esto refleja una disminución de RD$ 65,956.65, lo que representa en terminos porcentuales un (88.76%). La disminuciób </t>
  </si>
  <si>
    <t>Al 31 de Diciembre del 2020 y al 31 de Diciembre del 2019, el patrimonio de la institución tiene un balance de RD$ 611,456,098,83 y RD$ 733,239,413.34 respectivamente</t>
  </si>
  <si>
    <t>Dicho patrimonio disminuyo en (RD$ 136,198,370.42) lo que representa en terminos porcentuales un (19.92%), el capital esta compuesto de la manera siguiente:</t>
  </si>
  <si>
    <t>Gerente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</si>
</sst>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0.000000%"/>
    <numFmt numFmtId="168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1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43" fontId="0" fillId="0" borderId="0" xfId="9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9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9" applyFont="1" applyAlignment="1">
      <alignment vertical="center"/>
    </xf>
    <xf numFmtId="43" fontId="5" fillId="0" borderId="1" xfId="9" applyFont="1" applyBorder="1" applyAlignment="1">
      <alignment horizontal="center" vertical="center"/>
    </xf>
    <xf numFmtId="43" fontId="5" fillId="0" borderId="0" xfId="9" applyFont="1" applyAlignment="1">
      <alignment vertical="center"/>
    </xf>
    <xf numFmtId="0" fontId="0" fillId="0" borderId="0" xfId="0" applyFont="1" applyAlignment="1">
      <alignment vertical="center" wrapText="1"/>
    </xf>
    <xf numFmtId="43" fontId="0" fillId="0" borderId="0" xfId="9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14" applyNumberFormat="1" applyFont="1" applyFill="1" applyAlignment="1">
      <alignment vertical="center" wrapText="1"/>
    </xf>
    <xf numFmtId="0" fontId="9" fillId="0" borderId="0" xfId="14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5" fillId="0" borderId="6" xfId="0" applyNumberFormat="1" applyFont="1" applyBorder="1"/>
    <xf numFmtId="43" fontId="0" fillId="0" borderId="0" xfId="9" applyFont="1"/>
    <xf numFmtId="43" fontId="5" fillId="0" borderId="6" xfId="9" applyFont="1" applyBorder="1"/>
    <xf numFmtId="43" fontId="5" fillId="0" borderId="5" xfId="9" applyFont="1" applyBorder="1"/>
    <xf numFmtId="0" fontId="6" fillId="3" borderId="0" xfId="0" applyFont="1" applyFill="1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3" fontId="3" fillId="3" borderId="0" xfId="9" applyFont="1" applyFill="1" applyAlignment="1">
      <alignment horizontal="right" vertical="center"/>
    </xf>
    <xf numFmtId="43" fontId="0" fillId="3" borderId="0" xfId="9" applyFont="1" applyFill="1" applyAlignment="1">
      <alignment vertical="center"/>
    </xf>
    <xf numFmtId="0" fontId="3" fillId="3" borderId="0" xfId="0" applyFont="1" applyFill="1" applyAlignment="1">
      <alignment vertical="center"/>
    </xf>
    <xf numFmtId="43" fontId="3" fillId="3" borderId="2" xfId="9" applyFont="1" applyFill="1" applyBorder="1" applyAlignment="1">
      <alignment horizontal="right" vertical="center"/>
    </xf>
    <xf numFmtId="43" fontId="6" fillId="3" borderId="0" xfId="9" applyFont="1" applyFill="1"/>
    <xf numFmtId="43" fontId="3" fillId="3" borderId="3" xfId="9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43" fontId="3" fillId="3" borderId="5" xfId="9" applyFont="1" applyFill="1" applyBorder="1" applyAlignment="1">
      <alignment horizontal="right" vertical="center"/>
    </xf>
    <xf numFmtId="2" fontId="0" fillId="0" borderId="0" xfId="9" applyNumberFormat="1" applyFont="1" applyAlignment="1">
      <alignment horizontal="right"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43" fontId="0" fillId="4" borderId="0" xfId="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0" xfId="9" applyFont="1" applyAlignment="1">
      <alignment horizontal="center" vertical="center"/>
    </xf>
    <xf numFmtId="43" fontId="3" fillId="3" borderId="0" xfId="9" applyFont="1" applyFill="1" applyAlignment="1">
      <alignment horizontal="center" vertical="center"/>
    </xf>
    <xf numFmtId="43" fontId="0" fillId="3" borderId="0" xfId="9" applyFont="1" applyFill="1" applyAlignment="1">
      <alignment horizontal="center" vertical="center"/>
    </xf>
    <xf numFmtId="43" fontId="3" fillId="3" borderId="2" xfId="9" applyFont="1" applyFill="1" applyBorder="1" applyAlignment="1">
      <alignment horizontal="center" vertical="center"/>
    </xf>
    <xf numFmtId="43" fontId="6" fillId="3" borderId="0" xfId="9" applyFont="1" applyFill="1" applyAlignment="1">
      <alignment horizontal="center"/>
    </xf>
    <xf numFmtId="43" fontId="3" fillId="3" borderId="3" xfId="9" applyFont="1" applyFill="1" applyBorder="1" applyAlignment="1">
      <alignment horizontal="center" vertical="center"/>
    </xf>
    <xf numFmtId="43" fontId="3" fillId="3" borderId="4" xfId="9" applyFont="1" applyFill="1" applyBorder="1" applyAlignment="1">
      <alignment horizontal="center" vertical="center"/>
    </xf>
    <xf numFmtId="43" fontId="3" fillId="3" borderId="5" xfId="9" applyFont="1" applyFill="1" applyBorder="1" applyAlignment="1">
      <alignment horizontal="center" vertical="center"/>
    </xf>
    <xf numFmtId="43" fontId="0" fillId="0" borderId="0" xfId="9" applyFont="1" applyAlignment="1">
      <alignment horizontal="center" vertical="center" wrapText="1"/>
    </xf>
    <xf numFmtId="43" fontId="5" fillId="3" borderId="0" xfId="9" applyFont="1" applyFill="1" applyAlignment="1">
      <alignment horizontal="center" vertical="center" wrapText="1"/>
    </xf>
    <xf numFmtId="43" fontId="7" fillId="3" borderId="0" xfId="9" applyFont="1" applyFill="1" applyAlignment="1">
      <alignment horizontal="center" vertical="center"/>
    </xf>
    <xf numFmtId="43" fontId="0" fillId="0" borderId="0" xfId="9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5" fillId="0" borderId="1" xfId="9" applyNumberFormat="1" applyFont="1" applyBorder="1" applyAlignment="1">
      <alignment horizontal="right" vertical="center"/>
    </xf>
    <xf numFmtId="49" fontId="0" fillId="0" borderId="0" xfId="9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0" fontId="0" fillId="0" borderId="0" xfId="13" applyNumberFormat="1" applyFont="1" applyAlignment="1">
      <alignment horizontal="center" vertical="center"/>
    </xf>
    <xf numFmtId="43" fontId="5" fillId="0" borderId="0" xfId="9" applyFont="1" applyBorder="1" applyAlignment="1">
      <alignment horizontal="center" vertical="center"/>
    </xf>
    <xf numFmtId="167" fontId="0" fillId="0" borderId="0" xfId="13" applyNumberFormat="1" applyFont="1" applyAlignment="1">
      <alignment horizontal="center" vertical="center"/>
    </xf>
    <xf numFmtId="2" fontId="3" fillId="3" borderId="0" xfId="9" applyNumberFormat="1" applyFont="1" applyFill="1" applyAlignment="1">
      <alignment horizontal="right" vertical="center"/>
    </xf>
    <xf numFmtId="2" fontId="3" fillId="3" borderId="3" xfId="9" applyNumberFormat="1" applyFont="1" applyFill="1" applyBorder="1" applyAlignment="1">
      <alignment horizontal="right" vertical="center"/>
    </xf>
    <xf numFmtId="43" fontId="3" fillId="2" borderId="0" xfId="9" applyFont="1" applyFill="1" applyAlignment="1">
      <alignment horizontal="right" vertical="center"/>
    </xf>
    <xf numFmtId="43" fontId="0" fillId="2" borderId="0" xfId="9" applyFont="1" applyFill="1" applyAlignment="1">
      <alignment vertical="center"/>
    </xf>
    <xf numFmtId="43" fontId="3" fillId="2" borderId="0" xfId="9" applyFont="1" applyFill="1" applyAlignment="1">
      <alignment horizontal="center" vertical="center"/>
    </xf>
    <xf numFmtId="0" fontId="2" fillId="0" borderId="0" xfId="14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3" fontId="0" fillId="0" borderId="7" xfId="9" applyFont="1" applyBorder="1"/>
    <xf numFmtId="43" fontId="5" fillId="0" borderId="1" xfId="9" applyFont="1" applyBorder="1"/>
    <xf numFmtId="0" fontId="5" fillId="0" borderId="0" xfId="0" applyFont="1" applyAlignment="1">
      <alignment horizontal="center"/>
    </xf>
    <xf numFmtId="43" fontId="0" fillId="0" borderId="0" xfId="9" applyFont="1" applyFill="1"/>
    <xf numFmtId="43" fontId="0" fillId="0" borderId="0" xfId="0" applyNumberFormat="1" applyFill="1"/>
    <xf numFmtId="43" fontId="0" fillId="0" borderId="0" xfId="9" applyFont="1" applyFill="1" applyAlignment="1">
      <alignment horizontal="right" vertical="center"/>
    </xf>
    <xf numFmtId="0" fontId="11" fillId="0" borderId="0" xfId="14" applyFont="1" applyFill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5" fillId="0" borderId="0" xfId="9" applyFont="1"/>
    <xf numFmtId="10" fontId="0" fillId="0" borderId="0" xfId="13" applyNumberFormat="1" applyFont="1"/>
    <xf numFmtId="10" fontId="5" fillId="0" borderId="0" xfId="13" applyNumberFormat="1" applyFont="1"/>
    <xf numFmtId="0" fontId="5" fillId="0" borderId="0" xfId="0" applyFont="1" applyAlignment="1"/>
    <xf numFmtId="0" fontId="0" fillId="0" borderId="0" xfId="0" applyFont="1"/>
    <xf numFmtId="4" fontId="0" fillId="0" borderId="0" xfId="0" applyNumberFormat="1"/>
    <xf numFmtId="43" fontId="9" fillId="0" borderId="0" xfId="9" applyFont="1" applyFill="1" applyAlignment="1">
      <alignment vertical="center"/>
    </xf>
    <xf numFmtId="43" fontId="11" fillId="0" borderId="0" xfId="9" applyFont="1" applyFill="1" applyAlignment="1">
      <alignment vertical="center"/>
    </xf>
    <xf numFmtId="43" fontId="5" fillId="0" borderId="0" xfId="9" applyFont="1" applyAlignment="1"/>
    <xf numFmtId="2" fontId="3" fillId="2" borderId="0" xfId="9" applyNumberFormat="1" applyFont="1" applyFill="1" applyAlignment="1">
      <alignment horizontal="right" vertical="center"/>
    </xf>
    <xf numFmtId="43" fontId="0" fillId="5" borderId="0" xfId="9" applyFont="1" applyFill="1"/>
    <xf numFmtId="0" fontId="9" fillId="0" borderId="0" xfId="14" applyFont="1" applyFill="1" applyAlignment="1">
      <alignment horizontal="center" vertical="center"/>
    </xf>
    <xf numFmtId="0" fontId="2" fillId="0" borderId="0" xfId="14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14" applyFont="1" applyFill="1" applyAlignment="1">
      <alignment vertical="center"/>
    </xf>
    <xf numFmtId="0" fontId="10" fillId="0" borderId="0" xfId="0" applyFont="1" applyAlignment="1">
      <alignment vertical="center" wrapText="1"/>
    </xf>
    <xf numFmtId="4" fontId="2" fillId="0" borderId="0" xfId="14" applyNumberFormat="1" applyFont="1" applyFill="1"/>
    <xf numFmtId="0" fontId="12" fillId="0" borderId="0" xfId="0" applyFont="1" applyAlignment="1">
      <alignment vertical="center" wrapText="1"/>
    </xf>
    <xf numFmtId="4" fontId="9" fillId="0" borderId="6" xfId="14" applyNumberFormat="1" applyFont="1" applyFill="1" applyBorder="1"/>
    <xf numFmtId="0" fontId="0" fillId="0" borderId="0" xfId="0" applyAlignment="1">
      <alignment wrapText="1"/>
    </xf>
    <xf numFmtId="4" fontId="9" fillId="0" borderId="0" xfId="14" applyNumberFormat="1" applyFont="1" applyFill="1" applyBorder="1"/>
    <xf numFmtId="4" fontId="9" fillId="0" borderId="0" xfId="14" applyNumberFormat="1" applyFont="1" applyFill="1"/>
    <xf numFmtId="4" fontId="9" fillId="0" borderId="5" xfId="14" applyNumberFormat="1" applyFont="1" applyFill="1" applyBorder="1"/>
    <xf numFmtId="4" fontId="2" fillId="0" borderId="0" xfId="14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9" fillId="0" borderId="0" xfId="14" applyFont="1" applyFill="1" applyAlignment="1">
      <alignment horizontal="left" vertical="center" wrapText="1"/>
    </xf>
    <xf numFmtId="0" fontId="13" fillId="0" borderId="0" xfId="14" applyFont="1" applyFill="1" applyAlignment="1">
      <alignment vertical="center" wrapText="1"/>
    </xf>
    <xf numFmtId="0" fontId="2" fillId="0" borderId="0" xfId="14" applyFont="1" applyFill="1" applyAlignment="1">
      <alignment vertical="center" wrapText="1"/>
    </xf>
    <xf numFmtId="0" fontId="9" fillId="0" borderId="0" xfId="14" applyFont="1" applyFill="1" applyAlignment="1">
      <alignment vertical="center" wrapText="1"/>
    </xf>
    <xf numFmtId="0" fontId="5" fillId="6" borderId="0" xfId="0" applyFont="1" applyFill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3" fontId="0" fillId="0" borderId="0" xfId="9" applyFont="1" applyBorder="1"/>
    <xf numFmtId="43" fontId="2" fillId="0" borderId="0" xfId="9" applyFont="1" applyFill="1" applyAlignment="1">
      <alignment vertical="center"/>
    </xf>
    <xf numFmtId="164" fontId="0" fillId="0" borderId="0" xfId="0" applyNumberFormat="1"/>
    <xf numFmtId="164" fontId="2" fillId="0" borderId="0" xfId="14" applyNumberFormat="1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3" fontId="1" fillId="0" borderId="0" xfId="9" applyFont="1" applyAlignment="1">
      <alignment horizontal="center" vertical="center"/>
    </xf>
    <xf numFmtId="164" fontId="5" fillId="0" borderId="0" xfId="0" applyNumberFormat="1" applyFont="1"/>
    <xf numFmtId="43" fontId="0" fillId="0" borderId="8" xfId="0" applyNumberFormat="1" applyBorder="1"/>
    <xf numFmtId="43" fontId="0" fillId="0" borderId="6" xfId="0" applyNumberFormat="1" applyBorder="1"/>
    <xf numFmtId="43" fontId="0" fillId="0" borderId="3" xfId="0" applyNumberFormat="1" applyBorder="1"/>
    <xf numFmtId="43" fontId="0" fillId="0" borderId="5" xfId="0" applyNumberFormat="1" applyBorder="1"/>
    <xf numFmtId="0" fontId="2" fillId="0" borderId="10" xfId="14" applyFont="1" applyFill="1" applyBorder="1" applyAlignment="1">
      <alignment vertical="center"/>
    </xf>
    <xf numFmtId="43" fontId="2" fillId="0" borderId="10" xfId="9" applyFont="1" applyFill="1" applyBorder="1" applyAlignment="1">
      <alignment vertical="center"/>
    </xf>
    <xf numFmtId="43" fontId="2" fillId="0" borderId="10" xfId="14" applyNumberFormat="1" applyFont="1" applyFill="1" applyBorder="1" applyAlignment="1">
      <alignment vertical="center"/>
    </xf>
    <xf numFmtId="0" fontId="2" fillId="0" borderId="10" xfId="14" applyFont="1" applyFill="1" applyBorder="1" applyAlignment="1">
      <alignment horizontal="center" vertical="center"/>
    </xf>
    <xf numFmtId="4" fontId="9" fillId="0" borderId="10" xfId="14" applyNumberFormat="1" applyFont="1" applyFill="1" applyBorder="1" applyAlignment="1">
      <alignment vertical="center"/>
    </xf>
    <xf numFmtId="4" fontId="9" fillId="0" borderId="10" xfId="14" quotePrefix="1" applyNumberFormat="1" applyFont="1" applyFill="1" applyBorder="1" applyAlignment="1">
      <alignment horizontal="center" vertical="center"/>
    </xf>
    <xf numFmtId="0" fontId="9" fillId="0" borderId="10" xfId="14" applyFont="1" applyFill="1" applyBorder="1" applyAlignment="1">
      <alignment horizontal="center" vertical="center"/>
    </xf>
    <xf numFmtId="43" fontId="2" fillId="0" borderId="10" xfId="9" applyFont="1" applyFill="1" applyBorder="1" applyAlignment="1">
      <alignment horizontal="center"/>
    </xf>
    <xf numFmtId="0" fontId="9" fillId="0" borderId="10" xfId="14" applyFont="1" applyFill="1" applyBorder="1" applyAlignment="1">
      <alignment vertical="center"/>
    </xf>
    <xf numFmtId="43" fontId="9" fillId="0" borderId="10" xfId="9" applyFont="1" applyFill="1" applyBorder="1" applyAlignment="1">
      <alignment vertical="center"/>
    </xf>
    <xf numFmtId="43" fontId="9" fillId="0" borderId="10" xfId="14" applyNumberFormat="1" applyFont="1" applyFill="1" applyBorder="1" applyAlignment="1">
      <alignment vertical="center"/>
    </xf>
    <xf numFmtId="43" fontId="6" fillId="0" borderId="0" xfId="9" applyFont="1"/>
    <xf numFmtId="4" fontId="5" fillId="0" borderId="0" xfId="0" applyNumberFormat="1" applyFont="1"/>
    <xf numFmtId="0" fontId="5" fillId="0" borderId="11" xfId="0" applyFont="1" applyBorder="1" applyAlignment="1">
      <alignment horizontal="center"/>
    </xf>
    <xf numFmtId="0" fontId="0" fillId="0" borderId="9" xfId="0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9" fontId="5" fillId="0" borderId="12" xfId="13" applyFont="1" applyBorder="1" applyAlignment="1">
      <alignment horizontal="center"/>
    </xf>
    <xf numFmtId="43" fontId="5" fillId="0" borderId="11" xfId="9" applyFont="1" applyBorder="1"/>
    <xf numFmtId="43" fontId="5" fillId="0" borderId="9" xfId="9" applyFont="1" applyBorder="1"/>
    <xf numFmtId="43" fontId="1" fillId="0" borderId="0" xfId="9" applyFont="1" applyBorder="1"/>
    <xf numFmtId="10" fontId="5" fillId="0" borderId="0" xfId="13" applyNumberFormat="1" applyFont="1" applyAlignment="1">
      <alignment horizontal="center"/>
    </xf>
    <xf numFmtId="10" fontId="0" fillId="0" borderId="0" xfId="13" applyNumberFormat="1" applyFont="1" applyAlignment="1">
      <alignment horizontal="center"/>
    </xf>
    <xf numFmtId="10" fontId="1" fillId="0" borderId="0" xfId="13" applyNumberFormat="1" applyFont="1" applyBorder="1" applyAlignment="1">
      <alignment horizontal="center"/>
    </xf>
    <xf numFmtId="10" fontId="5" fillId="0" borderId="12" xfId="13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0" fontId="5" fillId="0" borderId="12" xfId="13" applyNumberFormat="1" applyFont="1" applyBorder="1"/>
    <xf numFmtId="43" fontId="5" fillId="0" borderId="11" xfId="0" applyNumberFormat="1" applyFont="1" applyBorder="1"/>
    <xf numFmtId="43" fontId="5" fillId="0" borderId="9" xfId="0" applyNumberFormat="1" applyFont="1" applyBorder="1"/>
    <xf numFmtId="10" fontId="0" fillId="0" borderId="0" xfId="0" applyNumberFormat="1"/>
    <xf numFmtId="0" fontId="5" fillId="4" borderId="0" xfId="0" applyFont="1" applyFill="1" applyAlignment="1">
      <alignment vertical="center"/>
    </xf>
    <xf numFmtId="164" fontId="5" fillId="0" borderId="9" xfId="0" applyNumberFormat="1" applyFont="1" applyBorder="1"/>
    <xf numFmtId="10" fontId="0" fillId="0" borderId="0" xfId="13" quotePrefix="1" applyNumberFormat="1" applyFont="1"/>
    <xf numFmtId="10" fontId="5" fillId="0" borderId="12" xfId="13" quotePrefix="1" applyNumberFormat="1" applyFont="1" applyBorder="1"/>
    <xf numFmtId="2" fontId="2" fillId="0" borderId="0" xfId="14" applyNumberFormat="1" applyFont="1" applyFill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/>
    <xf numFmtId="43" fontId="0" fillId="0" borderId="0" xfId="9" applyFont="1" applyFill="1" applyBorder="1"/>
    <xf numFmtId="43" fontId="0" fillId="0" borderId="10" xfId="9" applyFont="1" applyBorder="1"/>
    <xf numFmtId="43" fontId="5" fillId="0" borderId="10" xfId="9" applyFont="1" applyBorder="1"/>
    <xf numFmtId="43" fontId="0" fillId="0" borderId="10" xfId="0" applyNumberFormat="1" applyBorder="1"/>
    <xf numFmtId="43" fontId="5" fillId="0" borderId="10" xfId="9" applyFont="1" applyBorder="1" applyAlignment="1">
      <alignment horizontal="center"/>
    </xf>
    <xf numFmtId="0" fontId="0" fillId="0" borderId="13" xfId="0" applyBorder="1"/>
    <xf numFmtId="43" fontId="0" fillId="0" borderId="13" xfId="9" applyFont="1" applyBorder="1"/>
    <xf numFmtId="43" fontId="0" fillId="0" borderId="0" xfId="9" applyFont="1" applyBorder="1" applyAlignment="1">
      <alignment horizontal="center"/>
    </xf>
    <xf numFmtId="43" fontId="0" fillId="0" borderId="0" xfId="9" applyFont="1" applyBorder="1" applyAlignment="1">
      <alignment horizontal="center" vertical="center"/>
    </xf>
    <xf numFmtId="43" fontId="0" fillId="0" borderId="0" xfId="9" applyFont="1" applyBorder="1" applyAlignment="1">
      <alignment horizontal="center" vertical="center" wrapText="1"/>
    </xf>
    <xf numFmtId="43" fontId="0" fillId="0" borderId="0" xfId="9" applyFont="1" applyFill="1" applyBorder="1" applyAlignment="1">
      <alignment horizontal="center" vertical="center"/>
    </xf>
    <xf numFmtId="43" fontId="0" fillId="0" borderId="0" xfId="0" applyNumberFormat="1" applyBorder="1"/>
    <xf numFmtId="43" fontId="5" fillId="0" borderId="0" xfId="0" applyNumberFormat="1" applyFont="1" applyBorder="1"/>
    <xf numFmtId="0" fontId="5" fillId="0" borderId="14" xfId="0" applyFont="1" applyBorder="1" applyAlignment="1">
      <alignment vertical="center"/>
    </xf>
    <xf numFmtId="0" fontId="0" fillId="0" borderId="14" xfId="0" applyBorder="1"/>
    <xf numFmtId="43" fontId="5" fillId="0" borderId="14" xfId="9" applyFont="1" applyBorder="1"/>
    <xf numFmtId="43" fontId="0" fillId="0" borderId="14" xfId="9" applyFont="1" applyBorder="1"/>
    <xf numFmtId="43" fontId="5" fillId="0" borderId="14" xfId="0" applyNumberFormat="1" applyFont="1" applyBorder="1"/>
    <xf numFmtId="0" fontId="5" fillId="0" borderId="15" xfId="0" applyFont="1" applyBorder="1" applyAlignment="1">
      <alignment vertical="center"/>
    </xf>
    <xf numFmtId="0" fontId="0" fillId="0" borderId="16" xfId="0" applyBorder="1"/>
    <xf numFmtId="43" fontId="5" fillId="0" borderId="16" xfId="9" applyFont="1" applyBorder="1"/>
    <xf numFmtId="43" fontId="5" fillId="0" borderId="17" xfId="0" applyNumberFormat="1" applyFont="1" applyBorder="1"/>
    <xf numFmtId="0" fontId="12" fillId="0" borderId="0" xfId="0" applyFont="1" applyAlignment="1">
      <alignment vertical="center"/>
    </xf>
    <xf numFmtId="4" fontId="5" fillId="0" borderId="11" xfId="0" applyNumberFormat="1" applyFont="1" applyBorder="1"/>
    <xf numFmtId="4" fontId="5" fillId="0" borderId="9" xfId="0" applyNumberFormat="1" applyFont="1" applyBorder="1"/>
    <xf numFmtId="0" fontId="10" fillId="0" borderId="0" xfId="0" applyFont="1" applyAlignment="1">
      <alignment vertical="center"/>
    </xf>
    <xf numFmtId="168" fontId="0" fillId="0" borderId="0" xfId="9" applyNumberFormat="1" applyFont="1"/>
    <xf numFmtId="10" fontId="0" fillId="0" borderId="12" xfId="13" applyNumberFormat="1" applyFont="1" applyBorder="1"/>
    <xf numFmtId="43" fontId="5" fillId="0" borderId="0" xfId="9" applyFont="1" applyBorder="1" applyAlignment="1">
      <alignment horizontal="center"/>
    </xf>
    <xf numFmtId="43" fontId="1" fillId="0" borderId="0" xfId="9" applyFont="1" applyBorder="1" applyAlignment="1">
      <alignment horizontal="center"/>
    </xf>
    <xf numFmtId="43" fontId="5" fillId="0" borderId="11" xfId="13" applyNumberFormat="1" applyFont="1" applyBorder="1"/>
    <xf numFmtId="43" fontId="5" fillId="0" borderId="9" xfId="13" applyNumberFormat="1" applyFont="1" applyBorder="1"/>
    <xf numFmtId="0" fontId="0" fillId="0" borderId="0" xfId="0" applyFont="1" applyAlignment="1">
      <alignment vertical="center"/>
    </xf>
    <xf numFmtId="9" fontId="5" fillId="0" borderId="0" xfId="13" applyFont="1" applyBorder="1" applyAlignment="1">
      <alignment horizontal="center"/>
    </xf>
    <xf numFmtId="10" fontId="0" fillId="0" borderId="0" xfId="13" applyNumberFormat="1" applyFont="1" applyBorder="1" applyAlignment="1">
      <alignment horizontal="center"/>
    </xf>
    <xf numFmtId="10" fontId="5" fillId="0" borderId="0" xfId="13" applyNumberFormat="1" applyFont="1" applyBorder="1" applyAlignment="1">
      <alignment horizontal="center"/>
    </xf>
    <xf numFmtId="10" fontId="0" fillId="0" borderId="0" xfId="13" applyNumberFormat="1" applyFont="1" applyBorder="1"/>
    <xf numFmtId="10" fontId="5" fillId="0" borderId="0" xfId="13" applyNumberFormat="1" applyFont="1" applyBorder="1"/>
    <xf numFmtId="10" fontId="0" fillId="0" borderId="0" xfId="13" quotePrefix="1" applyNumberFormat="1" applyFont="1" applyBorder="1"/>
    <xf numFmtId="10" fontId="5" fillId="0" borderId="0" xfId="13" quotePrefix="1" applyNumberFormat="1" applyFont="1" applyBorder="1"/>
    <xf numFmtId="0" fontId="9" fillId="0" borderId="0" xfId="14" applyFont="1" applyFill="1" applyAlignment="1">
      <alignment horizontal="center" vertical="center"/>
    </xf>
    <xf numFmtId="0" fontId="9" fillId="0" borderId="0" xfId="14" applyFont="1" applyFill="1" applyAlignment="1">
      <alignment horizontal="center" vertical="center"/>
    </xf>
    <xf numFmtId="0" fontId="11" fillId="0" borderId="0" xfId="14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14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14" applyFont="1" applyFill="1" applyBorder="1" applyAlignment="1">
      <alignment vertical="center"/>
    </xf>
    <xf numFmtId="4" fontId="2" fillId="0" borderId="0" xfId="14" applyNumberFormat="1" applyFont="1" applyFill="1" applyBorder="1"/>
    <xf numFmtId="4" fontId="2" fillId="0" borderId="0" xfId="14" applyNumberFormat="1" applyFont="1" applyFill="1" applyBorder="1" applyAlignment="1">
      <alignment vertical="center"/>
    </xf>
    <xf numFmtId="43" fontId="2" fillId="0" borderId="0" xfId="9" applyFont="1" applyFill="1" applyBorder="1" applyAlignment="1">
      <alignment vertical="center"/>
    </xf>
    <xf numFmtId="164" fontId="2" fillId="0" borderId="0" xfId="14" applyNumberFormat="1" applyFont="1" applyFill="1" applyBorder="1" applyAlignment="1">
      <alignment vertical="center"/>
    </xf>
    <xf numFmtId="4" fontId="2" fillId="0" borderId="0" xfId="14" quotePrefix="1" applyNumberFormat="1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horizontal="center" vertical="center"/>
    </xf>
    <xf numFmtId="43" fontId="2" fillId="0" borderId="0" xfId="14" applyNumberFormat="1" applyFont="1" applyFill="1" applyBorder="1" applyAlignment="1">
      <alignment vertical="center"/>
    </xf>
    <xf numFmtId="0" fontId="5" fillId="7" borderId="0" xfId="0" applyFont="1" applyFill="1" applyAlignment="1">
      <alignment horizontal="left"/>
    </xf>
  </cellXfs>
  <cellStyles count="15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4"/>
    <cellStyle name="Porcentaje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733426</xdr:colOff>
      <xdr:row>2</xdr:row>
      <xdr:rowOff>28573</xdr:rowOff>
    </xdr:from>
    <xdr:to>
      <xdr:col>11</xdr:col>
      <xdr:colOff>9526</xdr:colOff>
      <xdr:row>8</xdr:row>
      <xdr:rowOff>122882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6" y="409573"/>
          <a:ext cx="1257300" cy="123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714375</xdr:colOff>
      <xdr:row>8</xdr:row>
      <xdr:rowOff>95249</xdr:rowOff>
    </xdr:to>
    <xdr:pic>
      <xdr:nvPicPr>
        <xdr:cNvPr id="3" name="Imagen 6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914400" y="371475"/>
          <a:ext cx="1323975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733426</xdr:colOff>
      <xdr:row>313</xdr:row>
      <xdr:rowOff>28573</xdr:rowOff>
    </xdr:from>
    <xdr:to>
      <xdr:col>11</xdr:col>
      <xdr:colOff>9526</xdr:colOff>
      <xdr:row>319</xdr:row>
      <xdr:rowOff>122882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409573"/>
          <a:ext cx="1323975" cy="123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312</xdr:row>
      <xdr:rowOff>180975</xdr:rowOff>
    </xdr:from>
    <xdr:to>
      <xdr:col>2</xdr:col>
      <xdr:colOff>714375</xdr:colOff>
      <xdr:row>319</xdr:row>
      <xdr:rowOff>95249</xdr:rowOff>
    </xdr:to>
    <xdr:pic>
      <xdr:nvPicPr>
        <xdr:cNvPr id="3" name="Imagen 6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914400" y="371475"/>
          <a:ext cx="1323975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3</xdr:row>
      <xdr:rowOff>19050</xdr:rowOff>
    </xdr:from>
    <xdr:to>
      <xdr:col>2</xdr:col>
      <xdr:colOff>1027430</xdr:colOff>
      <xdr:row>7</xdr:row>
      <xdr:rowOff>28575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482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45</xdr:row>
      <xdr:rowOff>142875</xdr:rowOff>
    </xdr:from>
    <xdr:to>
      <xdr:col>1</xdr:col>
      <xdr:colOff>3238500</xdr:colOff>
      <xdr:row>55</xdr:row>
      <xdr:rowOff>38100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19050" y="7886700"/>
          <a:ext cx="3524250" cy="1800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2886075</xdr:colOff>
      <xdr:row>50</xdr:row>
      <xdr:rowOff>19050</xdr:rowOff>
    </xdr:from>
    <xdr:to>
      <xdr:col>4</xdr:col>
      <xdr:colOff>657225</xdr:colOff>
      <xdr:row>61</xdr:row>
      <xdr:rowOff>66675</xdr:rowOff>
    </xdr:to>
    <xdr:pic>
      <xdr:nvPicPr>
        <xdr:cNvPr id="10" name="Imagen 12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3190875" y="8715375"/>
          <a:ext cx="2571750" cy="200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3162300</xdr:colOff>
      <xdr:row>42</xdr:row>
      <xdr:rowOff>104775</xdr:rowOff>
    </xdr:from>
    <xdr:to>
      <xdr:col>4</xdr:col>
      <xdr:colOff>666750</xdr:colOff>
      <xdr:row>46</xdr:row>
      <xdr:rowOff>57150</xdr:rowOff>
    </xdr:to>
    <xdr:pic>
      <xdr:nvPicPr>
        <xdr:cNvPr id="12" name="Imagen 10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9" t="6596" r="11203" b="71775"/>
        <a:stretch/>
      </xdr:blipFill>
      <xdr:spPr bwMode="auto">
        <a:xfrm>
          <a:off x="3467100" y="7353300"/>
          <a:ext cx="2305050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76199</xdr:rowOff>
    </xdr:from>
    <xdr:to>
      <xdr:col>6</xdr:col>
      <xdr:colOff>752475</xdr:colOff>
      <xdr:row>6</xdr:row>
      <xdr:rowOff>53567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6199"/>
          <a:ext cx="1143000" cy="11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6</xdr:row>
      <xdr:rowOff>104774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0"/>
          <a:ext cx="2000250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0</xdr:rowOff>
    </xdr:from>
    <xdr:to>
      <xdr:col>3</xdr:col>
      <xdr:colOff>923924</xdr:colOff>
      <xdr:row>4</xdr:row>
      <xdr:rowOff>148816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0"/>
          <a:ext cx="847725" cy="91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1000125</xdr:colOff>
      <xdr:row>5</xdr:row>
      <xdr:rowOff>66675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9525"/>
          <a:ext cx="1876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42118</xdr:colOff>
      <xdr:row>0</xdr:row>
      <xdr:rowOff>123824</xdr:rowOff>
    </xdr:from>
    <xdr:to>
      <xdr:col>5</xdr:col>
      <xdr:colOff>1238249</xdr:colOff>
      <xdr:row>5</xdr:row>
      <xdr:rowOff>114299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668" y="123824"/>
          <a:ext cx="1196131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6</xdr:row>
      <xdr:rowOff>104774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0"/>
          <a:ext cx="1581150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161924</xdr:rowOff>
    </xdr:from>
    <xdr:to>
      <xdr:col>9</xdr:col>
      <xdr:colOff>619125</xdr:colOff>
      <xdr:row>5</xdr:row>
      <xdr:rowOff>139292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4"/>
          <a:ext cx="914400" cy="929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6</xdr:row>
      <xdr:rowOff>104774</xdr:rowOff>
    </xdr:to>
    <xdr:pic>
      <xdr:nvPicPr>
        <xdr:cNvPr id="3" name="Imagen 2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0"/>
          <a:ext cx="2000250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4"/>
  <sheetViews>
    <sheetView topLeftCell="A31" zoomScale="93" zoomScaleNormal="93" workbookViewId="0">
      <selection activeCell="F184" sqref="F184"/>
    </sheetView>
  </sheetViews>
  <sheetFormatPr baseColWidth="10" defaultRowHeight="15" x14ac:dyDescent="0.25"/>
  <cols>
    <col min="3" max="3" width="24.28515625" customWidth="1"/>
    <col min="4" max="4" width="16.7109375" customWidth="1"/>
    <col min="5" max="5" width="7.5703125" customWidth="1"/>
    <col min="6" max="6" width="15.140625" customWidth="1"/>
    <col min="7" max="7" width="17" customWidth="1"/>
    <col min="8" max="8" width="16.28515625" bestFit="1" customWidth="1"/>
    <col min="9" max="9" width="17.7109375" customWidth="1"/>
    <col min="10" max="10" width="16.5703125" customWidth="1"/>
    <col min="11" max="11" width="14.140625" customWidth="1"/>
    <col min="12" max="12" width="16.42578125" bestFit="1" customWidth="1"/>
    <col min="13" max="13" width="15.5703125" bestFit="1" customWidth="1"/>
  </cols>
  <sheetData>
    <row r="3" spans="2:13" x14ac:dyDescent="0.25">
      <c r="B3" s="204" t="s">
        <v>198</v>
      </c>
      <c r="C3" s="204"/>
      <c r="D3" s="204"/>
      <c r="E3" s="204"/>
      <c r="F3" s="204"/>
      <c r="G3" s="92"/>
      <c r="H3" s="92"/>
      <c r="I3" s="92"/>
    </row>
    <row r="4" spans="2:13" x14ac:dyDescent="0.25">
      <c r="B4" s="204" t="s">
        <v>199</v>
      </c>
      <c r="C4" s="204"/>
      <c r="D4" s="204"/>
      <c r="E4" s="204"/>
      <c r="F4" s="204"/>
      <c r="G4" s="92"/>
      <c r="H4" s="92"/>
      <c r="I4" s="92"/>
    </row>
    <row r="5" spans="2:13" x14ac:dyDescent="0.25">
      <c r="B5" s="204" t="s">
        <v>200</v>
      </c>
      <c r="C5" s="204"/>
      <c r="D5" s="204"/>
      <c r="E5" s="204"/>
      <c r="F5" s="204"/>
      <c r="G5" s="92"/>
      <c r="H5" s="92"/>
      <c r="I5" s="92"/>
    </row>
    <row r="6" spans="2:13" x14ac:dyDescent="0.25">
      <c r="B6" s="205" t="s">
        <v>152</v>
      </c>
      <c r="C6" s="205"/>
      <c r="D6" s="205"/>
      <c r="E6" s="205"/>
      <c r="F6" s="205"/>
      <c r="G6" s="92"/>
      <c r="H6" s="92"/>
      <c r="I6" s="92"/>
    </row>
    <row r="7" spans="2:13" x14ac:dyDescent="0.25">
      <c r="B7" s="204" t="s">
        <v>242</v>
      </c>
      <c r="C7" s="204"/>
      <c r="D7" s="204"/>
      <c r="E7" s="204"/>
      <c r="F7" s="204"/>
      <c r="G7" s="92"/>
      <c r="H7" s="92"/>
      <c r="I7" s="92"/>
    </row>
    <row r="8" spans="2:13" x14ac:dyDescent="0.25">
      <c r="B8" s="204" t="s">
        <v>283</v>
      </c>
      <c r="C8" s="204"/>
      <c r="D8" s="204"/>
      <c r="E8" s="204"/>
      <c r="F8" s="204"/>
      <c r="G8" s="92"/>
      <c r="H8" s="92"/>
      <c r="I8" s="92"/>
    </row>
    <row r="9" spans="2:13" x14ac:dyDescent="0.25">
      <c r="B9" s="204" t="s">
        <v>153</v>
      </c>
      <c r="C9" s="204"/>
      <c r="D9" s="204"/>
      <c r="E9" s="204"/>
      <c r="F9" s="204"/>
      <c r="G9" s="92"/>
      <c r="H9" s="92"/>
      <c r="I9" s="92"/>
    </row>
    <row r="12" spans="2:13" x14ac:dyDescent="0.25">
      <c r="B12" s="19" t="s">
        <v>298</v>
      </c>
    </row>
    <row r="14" spans="2:13" x14ac:dyDescent="0.25">
      <c r="B14" s="19" t="s">
        <v>296</v>
      </c>
      <c r="G14" s="21" t="s">
        <v>251</v>
      </c>
    </row>
    <row r="15" spans="2:13" x14ac:dyDescent="0.25">
      <c r="L15" t="s">
        <v>251</v>
      </c>
      <c r="M15" s="21" t="s">
        <v>251</v>
      </c>
    </row>
    <row r="16" spans="2:13" x14ac:dyDescent="0.25">
      <c r="B16" t="s">
        <v>297</v>
      </c>
    </row>
    <row r="18" spans="2:13" x14ac:dyDescent="0.25">
      <c r="B18" s="19" t="s">
        <v>12</v>
      </c>
      <c r="G18" s="135">
        <v>2020</v>
      </c>
      <c r="H18" s="137">
        <v>2019</v>
      </c>
      <c r="I18" s="137" t="s">
        <v>299</v>
      </c>
      <c r="J18" s="139" t="s">
        <v>300</v>
      </c>
      <c r="K18" s="196"/>
    </row>
    <row r="19" spans="2:13" x14ac:dyDescent="0.25">
      <c r="B19" t="s">
        <v>13</v>
      </c>
      <c r="G19" s="21">
        <v>318747359.63</v>
      </c>
      <c r="H19" s="21">
        <v>282971846.04000002</v>
      </c>
      <c r="I19" s="112">
        <f>F19-H19</f>
        <v>-282971846.04000002</v>
      </c>
      <c r="J19" s="144" t="e">
        <f>I19/F19</f>
        <v>#DIV/0!</v>
      </c>
      <c r="K19" s="197"/>
    </row>
    <row r="20" spans="2:13" x14ac:dyDescent="0.25">
      <c r="B20" t="s">
        <v>301</v>
      </c>
      <c r="G20" s="21">
        <v>8632756.0600000005</v>
      </c>
      <c r="H20" s="21">
        <v>15851710.27</v>
      </c>
      <c r="I20" s="21">
        <f>F20-H20</f>
        <v>-15851710.27</v>
      </c>
      <c r="J20" s="144" t="e">
        <f t="shared" ref="J20:J23" si="0">I20/F20</f>
        <v>#DIV/0!</v>
      </c>
      <c r="K20" s="197"/>
    </row>
    <row r="21" spans="2:13" x14ac:dyDescent="0.25">
      <c r="B21" t="s">
        <v>302</v>
      </c>
      <c r="G21" s="21">
        <v>10673229.33</v>
      </c>
      <c r="H21" s="21">
        <v>5752813.4400000004</v>
      </c>
      <c r="I21" s="21">
        <f t="shared" ref="I21:I24" si="1">F21-H21</f>
        <v>-5752813.4400000004</v>
      </c>
      <c r="J21" s="144" t="e">
        <f t="shared" si="0"/>
        <v>#DIV/0!</v>
      </c>
      <c r="K21" s="197"/>
    </row>
    <row r="22" spans="2:13" x14ac:dyDescent="0.25">
      <c r="B22" t="s">
        <v>305</v>
      </c>
      <c r="G22" s="21">
        <v>0</v>
      </c>
      <c r="H22" s="21">
        <v>4000</v>
      </c>
      <c r="I22" s="21">
        <f t="shared" si="1"/>
        <v>-4000</v>
      </c>
      <c r="J22" s="143" t="s">
        <v>306</v>
      </c>
      <c r="K22" s="198"/>
    </row>
    <row r="23" spans="2:13" x14ac:dyDescent="0.25">
      <c r="B23" s="82" t="s">
        <v>304</v>
      </c>
      <c r="F23" t="s">
        <v>303</v>
      </c>
      <c r="G23" s="142">
        <v>10000</v>
      </c>
      <c r="H23" s="142">
        <v>6000</v>
      </c>
      <c r="I23" s="142" t="e">
        <f t="shared" si="1"/>
        <v>#VALUE!</v>
      </c>
      <c r="J23" s="145" t="e">
        <f t="shared" si="0"/>
        <v>#VALUE!</v>
      </c>
      <c r="K23" s="145"/>
    </row>
    <row r="24" spans="2:13" x14ac:dyDescent="0.25">
      <c r="B24" s="19" t="s">
        <v>17</v>
      </c>
      <c r="C24" s="19"/>
      <c r="D24" s="19"/>
      <c r="E24" s="19"/>
      <c r="F24" s="19"/>
      <c r="G24" s="140">
        <f>SUM(G19:G23)</f>
        <v>338063345.01999998</v>
      </c>
      <c r="H24" s="141">
        <f>SUM(H19:H23)</f>
        <v>304586369.75</v>
      </c>
      <c r="I24" s="141">
        <f t="shared" si="1"/>
        <v>-304586369.75</v>
      </c>
      <c r="J24" s="146" t="e">
        <f>I24/F24</f>
        <v>#DIV/0!</v>
      </c>
      <c r="K24" s="198"/>
      <c r="M24" t="s">
        <v>251</v>
      </c>
    </row>
    <row r="27" spans="2:13" x14ac:dyDescent="0.25">
      <c r="B27" t="s">
        <v>307</v>
      </c>
    </row>
    <row r="28" spans="2:13" x14ac:dyDescent="0.25">
      <c r="B28" t="s">
        <v>308</v>
      </c>
    </row>
    <row r="31" spans="2:13" x14ac:dyDescent="0.25">
      <c r="B31" s="19" t="s">
        <v>309</v>
      </c>
    </row>
    <row r="33" spans="1:13" x14ac:dyDescent="0.25">
      <c r="B33" s="19" t="s">
        <v>310</v>
      </c>
    </row>
    <row r="35" spans="1:13" x14ac:dyDescent="0.25">
      <c r="B35" s="19" t="s">
        <v>12</v>
      </c>
      <c r="G35" s="135">
        <v>2020</v>
      </c>
      <c r="H35" s="137">
        <v>2019</v>
      </c>
      <c r="I35" s="137" t="s">
        <v>299</v>
      </c>
      <c r="J35" s="147" t="s">
        <v>300</v>
      </c>
      <c r="K35" s="158"/>
    </row>
    <row r="36" spans="1:13" x14ac:dyDescent="0.25">
      <c r="B36" t="s">
        <v>311</v>
      </c>
      <c r="G36" s="3">
        <v>202401003.58000001</v>
      </c>
      <c r="H36" s="21">
        <v>272953389.07999998</v>
      </c>
      <c r="I36" s="21">
        <f>F36-H36</f>
        <v>-272953389.07999998</v>
      </c>
      <c r="J36" s="79" t="e">
        <f>I36/F36</f>
        <v>#DIV/0!</v>
      </c>
      <c r="K36" s="199"/>
    </row>
    <row r="37" spans="1:13" x14ac:dyDescent="0.25">
      <c r="A37" t="s">
        <v>251</v>
      </c>
      <c r="B37" s="82" t="s">
        <v>20</v>
      </c>
      <c r="G37" s="3">
        <v>8349073.6500000004</v>
      </c>
      <c r="H37" s="21">
        <v>7624327.5300000003</v>
      </c>
      <c r="I37" s="21">
        <f t="shared" ref="I37:I39" si="2">F37-H37</f>
        <v>-7624327.5300000003</v>
      </c>
      <c r="J37" s="79" t="e">
        <f t="shared" ref="J37" si="3">I37/F37</f>
        <v>#DIV/0!</v>
      </c>
      <c r="K37" s="199"/>
    </row>
    <row r="38" spans="1:13" x14ac:dyDescent="0.25">
      <c r="B38" t="s">
        <v>322</v>
      </c>
      <c r="G38" s="8">
        <v>56421.09</v>
      </c>
      <c r="H38" s="21">
        <v>9449746.6699999999</v>
      </c>
      <c r="I38" s="21">
        <f t="shared" si="2"/>
        <v>-9449746.6699999999</v>
      </c>
      <c r="J38" s="79" t="e">
        <f>I38/F38</f>
        <v>#DIV/0!</v>
      </c>
      <c r="K38" s="199"/>
    </row>
    <row r="39" spans="1:13" x14ac:dyDescent="0.25">
      <c r="B39" s="19" t="s">
        <v>312</v>
      </c>
      <c r="G39" s="140">
        <f>SUM(G36:G38)</f>
        <v>210806498.32000002</v>
      </c>
      <c r="H39" s="141">
        <f>SUM(H36:H38)</f>
        <v>290027463.27999997</v>
      </c>
      <c r="I39" s="141">
        <f t="shared" si="2"/>
        <v>-290027463.27999997</v>
      </c>
      <c r="J39" s="148" t="e">
        <f t="shared" ref="J39" si="4">I39/F39</f>
        <v>#DIV/0!</v>
      </c>
      <c r="K39" s="200"/>
      <c r="M39" t="s">
        <v>251</v>
      </c>
    </row>
    <row r="40" spans="1:13" x14ac:dyDescent="0.25">
      <c r="G40" s="21"/>
      <c r="I40" s="21"/>
      <c r="J40" s="21"/>
      <c r="K40" s="21"/>
    </row>
    <row r="41" spans="1:13" x14ac:dyDescent="0.25">
      <c r="G41" s="21"/>
      <c r="I41" s="21"/>
      <c r="J41" s="21"/>
      <c r="K41" s="21"/>
    </row>
    <row r="42" spans="1:13" x14ac:dyDescent="0.25">
      <c r="G42" s="21"/>
      <c r="I42" s="21"/>
      <c r="J42" s="21"/>
      <c r="K42" s="21"/>
    </row>
    <row r="43" spans="1:13" x14ac:dyDescent="0.25">
      <c r="B43" t="s">
        <v>313</v>
      </c>
      <c r="G43" s="21"/>
    </row>
    <row r="44" spans="1:13" x14ac:dyDescent="0.25">
      <c r="B44" t="s">
        <v>314</v>
      </c>
    </row>
    <row r="47" spans="1:13" x14ac:dyDescent="0.25">
      <c r="B47" s="19" t="s">
        <v>315</v>
      </c>
    </row>
    <row r="49" spans="1:13" x14ac:dyDescent="0.25">
      <c r="B49" s="19" t="s">
        <v>316</v>
      </c>
    </row>
    <row r="50" spans="1:13" x14ac:dyDescent="0.25">
      <c r="G50" s="135">
        <v>2020</v>
      </c>
      <c r="H50" s="137">
        <v>2019</v>
      </c>
      <c r="I50" s="137" t="s">
        <v>299</v>
      </c>
      <c r="J50" s="147" t="s">
        <v>300</v>
      </c>
      <c r="K50" s="158"/>
    </row>
    <row r="51" spans="1:13" x14ac:dyDescent="0.25">
      <c r="B51" s="6" t="s">
        <v>23</v>
      </c>
      <c r="G51" s="3">
        <v>30454997.039999999</v>
      </c>
      <c r="H51" s="21">
        <v>76372858.049999997</v>
      </c>
      <c r="I51" s="18">
        <f>G51-H51</f>
        <v>-45917861.009999998</v>
      </c>
      <c r="J51" s="79">
        <f>I51/G51</f>
        <v>-1.5077283031645305</v>
      </c>
      <c r="K51" s="199"/>
      <c r="M51" s="112" t="e">
        <f>-J51-J53</f>
        <v>#DIV/0!</v>
      </c>
    </row>
    <row r="52" spans="1:13" x14ac:dyDescent="0.25">
      <c r="B52" s="6" t="s">
        <v>182</v>
      </c>
      <c r="G52" s="3">
        <v>17828505.039999999</v>
      </c>
      <c r="H52" s="21">
        <v>27017050.98</v>
      </c>
      <c r="I52" s="18">
        <f t="shared" ref="I52:I72" si="5">G52-H52</f>
        <v>-9188545.9400000013</v>
      </c>
      <c r="J52" s="79">
        <f t="shared" ref="J52:J72" si="6">I52/G52</f>
        <v>-0.51538510488594513</v>
      </c>
      <c r="K52" s="199"/>
    </row>
    <row r="53" spans="1:13" x14ac:dyDescent="0.25">
      <c r="B53" s="6" t="s">
        <v>24</v>
      </c>
      <c r="G53" s="3">
        <v>0</v>
      </c>
      <c r="H53" s="21">
        <v>19276076.010000002</v>
      </c>
      <c r="I53" s="18">
        <f t="shared" si="5"/>
        <v>-19276076.010000002</v>
      </c>
      <c r="J53" s="79" t="e">
        <f t="shared" si="6"/>
        <v>#DIV/0!</v>
      </c>
      <c r="K53" s="199"/>
    </row>
    <row r="54" spans="1:13" x14ac:dyDescent="0.25">
      <c r="B54" s="6" t="s">
        <v>25</v>
      </c>
      <c r="G54" s="3">
        <v>40069567.899999999</v>
      </c>
      <c r="H54" s="21">
        <v>40735184.340000004</v>
      </c>
      <c r="I54" s="18">
        <f t="shared" si="5"/>
        <v>-665616.44000000507</v>
      </c>
      <c r="J54" s="79">
        <f t="shared" si="6"/>
        <v>-1.6611520285448475E-2</v>
      </c>
      <c r="K54" s="199"/>
    </row>
    <row r="55" spans="1:13" x14ac:dyDescent="0.25">
      <c r="B55" s="6" t="s">
        <v>26</v>
      </c>
      <c r="G55" s="50">
        <v>31680449.289999999</v>
      </c>
      <c r="H55" s="21">
        <v>26887888.239999998</v>
      </c>
      <c r="I55" s="18">
        <f t="shared" si="5"/>
        <v>4792561.0500000007</v>
      </c>
      <c r="J55" s="79">
        <f t="shared" si="6"/>
        <v>0.15127819072669474</v>
      </c>
      <c r="K55" s="199"/>
    </row>
    <row r="56" spans="1:13" x14ac:dyDescent="0.25">
      <c r="B56" s="6" t="s">
        <v>27</v>
      </c>
      <c r="G56" s="3">
        <v>16154281.75</v>
      </c>
      <c r="H56" s="21">
        <v>18926588.609999999</v>
      </c>
      <c r="I56" s="18">
        <f t="shared" si="5"/>
        <v>-2772306.8599999994</v>
      </c>
      <c r="J56" s="79">
        <f t="shared" si="6"/>
        <v>-0.17161436843207217</v>
      </c>
      <c r="K56" s="199"/>
    </row>
    <row r="57" spans="1:13" x14ac:dyDescent="0.25">
      <c r="B57" s="6" t="s">
        <v>28</v>
      </c>
      <c r="G57" s="3">
        <v>20793020.449999999</v>
      </c>
      <c r="H57" s="21">
        <v>21806466.280000001</v>
      </c>
      <c r="I57" s="18">
        <f t="shared" si="5"/>
        <v>-1013445.8300000019</v>
      </c>
      <c r="J57" s="79">
        <f t="shared" si="6"/>
        <v>-4.8739712079684985E-2</v>
      </c>
      <c r="K57" s="199"/>
      <c r="M57" s="79" t="e">
        <f>J73/J39</f>
        <v>#DIV/0!</v>
      </c>
    </row>
    <row r="58" spans="1:13" x14ac:dyDescent="0.25">
      <c r="B58" s="6" t="s">
        <v>29</v>
      </c>
      <c r="G58" s="3">
        <v>4845297.59</v>
      </c>
      <c r="H58" s="21">
        <v>4817766.53</v>
      </c>
      <c r="I58" s="18">
        <f t="shared" si="5"/>
        <v>27531.05999999959</v>
      </c>
      <c r="J58" s="79">
        <f t="shared" si="6"/>
        <v>5.6820163237898437E-3</v>
      </c>
      <c r="K58" s="199"/>
    </row>
    <row r="59" spans="1:13" x14ac:dyDescent="0.25">
      <c r="B59" s="6" t="s">
        <v>30</v>
      </c>
      <c r="G59" s="3">
        <v>2597708.59</v>
      </c>
      <c r="H59" s="21">
        <v>5427201.9900000002</v>
      </c>
      <c r="I59" s="18">
        <f t="shared" si="5"/>
        <v>-2829493.4000000004</v>
      </c>
      <c r="J59" s="79">
        <f t="shared" si="6"/>
        <v>-1.0892266403138007</v>
      </c>
      <c r="K59" s="199"/>
    </row>
    <row r="60" spans="1:13" x14ac:dyDescent="0.25">
      <c r="B60" s="6" t="s">
        <v>31</v>
      </c>
      <c r="G60" s="3">
        <v>7799582.2300000004</v>
      </c>
      <c r="H60" s="21">
        <v>8782887.4199999999</v>
      </c>
      <c r="I60" s="18">
        <f t="shared" si="5"/>
        <v>-983305.18999999948</v>
      </c>
      <c r="J60" s="79">
        <f t="shared" si="6"/>
        <v>-0.12607152037167502</v>
      </c>
      <c r="K60" s="199"/>
    </row>
    <row r="61" spans="1:13" x14ac:dyDescent="0.25">
      <c r="B61" s="6" t="s">
        <v>32</v>
      </c>
      <c r="G61" s="3">
        <v>3860884.11</v>
      </c>
      <c r="H61" s="21">
        <v>3860884.11</v>
      </c>
      <c r="I61" s="18">
        <f t="shared" si="5"/>
        <v>0</v>
      </c>
      <c r="J61" s="79">
        <f t="shared" si="6"/>
        <v>0</v>
      </c>
      <c r="K61" s="199"/>
    </row>
    <row r="62" spans="1:13" x14ac:dyDescent="0.25">
      <c r="B62" s="6" t="s">
        <v>33</v>
      </c>
      <c r="G62" s="3">
        <v>2513722.36</v>
      </c>
      <c r="H62" s="21">
        <v>1428040.22</v>
      </c>
      <c r="I62" s="18">
        <f t="shared" si="5"/>
        <v>1085682.1399999999</v>
      </c>
      <c r="J62" s="79">
        <f t="shared" si="6"/>
        <v>0.43190216917989305</v>
      </c>
      <c r="K62" s="199"/>
    </row>
    <row r="63" spans="1:13" x14ac:dyDescent="0.25">
      <c r="A63" t="s">
        <v>317</v>
      </c>
      <c r="B63" s="6" t="s">
        <v>34</v>
      </c>
      <c r="G63" s="3">
        <v>439777.64</v>
      </c>
      <c r="H63" s="21">
        <v>578264.94999999995</v>
      </c>
      <c r="I63" s="18">
        <f t="shared" si="5"/>
        <v>-138487.30999999994</v>
      </c>
      <c r="J63" s="79">
        <f t="shared" si="6"/>
        <v>-0.31490302690241356</v>
      </c>
      <c r="K63" s="199"/>
    </row>
    <row r="64" spans="1:13" x14ac:dyDescent="0.25">
      <c r="B64" s="6" t="s">
        <v>35</v>
      </c>
      <c r="G64" s="3">
        <v>842562.79</v>
      </c>
      <c r="H64" s="21">
        <v>1439531.16</v>
      </c>
      <c r="I64" s="18">
        <f t="shared" si="5"/>
        <v>-596968.36999999988</v>
      </c>
      <c r="J64" s="79">
        <f t="shared" si="6"/>
        <v>-0.70851499387956574</v>
      </c>
      <c r="K64" s="199"/>
    </row>
    <row r="65" spans="2:13" x14ac:dyDescent="0.25">
      <c r="B65" s="6" t="s">
        <v>36</v>
      </c>
      <c r="G65" s="3">
        <v>1038642.24</v>
      </c>
      <c r="H65" s="21">
        <v>3663018.34</v>
      </c>
      <c r="I65" s="18">
        <f t="shared" si="5"/>
        <v>-2624376.0999999996</v>
      </c>
      <c r="J65" s="79">
        <f t="shared" si="6"/>
        <v>-2.5267373104332824</v>
      </c>
      <c r="K65" s="199"/>
    </row>
    <row r="66" spans="2:13" x14ac:dyDescent="0.25">
      <c r="B66" s="6" t="s">
        <v>37</v>
      </c>
      <c r="G66" s="3">
        <v>1718212.9</v>
      </c>
      <c r="H66" s="21">
        <v>392255.59</v>
      </c>
      <c r="I66" s="18">
        <f t="shared" si="5"/>
        <v>1325957.3099999998</v>
      </c>
      <c r="J66" s="79">
        <f t="shared" si="6"/>
        <v>0.77170722557140614</v>
      </c>
      <c r="K66" s="199"/>
    </row>
    <row r="67" spans="2:13" x14ac:dyDescent="0.25">
      <c r="B67" s="6" t="s">
        <v>38</v>
      </c>
      <c r="G67" s="3">
        <v>5089402.54</v>
      </c>
      <c r="H67" s="21">
        <v>681605.04</v>
      </c>
      <c r="I67" s="18">
        <f t="shared" si="5"/>
        <v>4407797.5</v>
      </c>
      <c r="J67" s="79">
        <f t="shared" si="6"/>
        <v>0.8660736629411907</v>
      </c>
      <c r="K67" s="199"/>
    </row>
    <row r="68" spans="2:13" x14ac:dyDescent="0.25">
      <c r="B68" s="6" t="s">
        <v>39</v>
      </c>
      <c r="G68" s="50">
        <v>6116474.2699999996</v>
      </c>
      <c r="H68" s="21">
        <v>2033084.73</v>
      </c>
      <c r="I68" s="18">
        <f t="shared" si="5"/>
        <v>4083389.5399999996</v>
      </c>
      <c r="J68" s="79">
        <f t="shared" si="6"/>
        <v>0.66760512016344997</v>
      </c>
      <c r="K68" s="199"/>
    </row>
    <row r="69" spans="2:13" x14ac:dyDescent="0.25">
      <c r="B69" s="6" t="s">
        <v>40</v>
      </c>
      <c r="G69" s="3">
        <v>288446.02</v>
      </c>
      <c r="H69" s="21">
        <v>1165546.3400000001</v>
      </c>
      <c r="I69" s="18">
        <f t="shared" si="5"/>
        <v>-877100.32000000007</v>
      </c>
      <c r="J69" s="79">
        <f t="shared" si="6"/>
        <v>-3.0407780284158541</v>
      </c>
      <c r="K69" s="199"/>
    </row>
    <row r="70" spans="2:13" x14ac:dyDescent="0.25">
      <c r="B70" s="6" t="s">
        <v>41</v>
      </c>
      <c r="G70" s="3"/>
      <c r="H70" s="21">
        <v>154777</v>
      </c>
      <c r="I70" s="18">
        <f t="shared" si="5"/>
        <v>-154777</v>
      </c>
      <c r="J70" s="79" t="e">
        <f t="shared" si="6"/>
        <v>#DIV/0!</v>
      </c>
      <c r="K70" s="199"/>
    </row>
    <row r="71" spans="2:13" x14ac:dyDescent="0.25">
      <c r="B71" s="6" t="s">
        <v>42</v>
      </c>
      <c r="G71" s="3">
        <v>5345597.12</v>
      </c>
      <c r="H71" s="21">
        <v>5866706.0499999998</v>
      </c>
      <c r="I71" s="18">
        <f t="shared" si="5"/>
        <v>-521108.9299999997</v>
      </c>
      <c r="J71" s="79">
        <f t="shared" si="6"/>
        <v>-9.748376435820881E-2</v>
      </c>
      <c r="K71" s="199"/>
    </row>
    <row r="72" spans="2:13" x14ac:dyDescent="0.25">
      <c r="B72" s="6" t="s">
        <v>43</v>
      </c>
      <c r="G72" s="50">
        <v>2923871.71</v>
      </c>
      <c r="H72" s="21">
        <v>1639707.11</v>
      </c>
      <c r="I72" s="18">
        <f t="shared" si="5"/>
        <v>1284164.5999999999</v>
      </c>
      <c r="J72" s="79">
        <f t="shared" si="6"/>
        <v>0.43920004958083469</v>
      </c>
      <c r="K72" s="199"/>
    </row>
    <row r="73" spans="2:13" x14ac:dyDescent="0.25">
      <c r="B73" s="6" t="s">
        <v>44</v>
      </c>
      <c r="G73" s="149">
        <f>SUM(G51:G72)</f>
        <v>202401003.58000001</v>
      </c>
      <c r="H73" s="141">
        <f>SUM(H51:H72)</f>
        <v>272953389.09000003</v>
      </c>
      <c r="I73" s="150">
        <f>G73-H73</f>
        <v>-70552385.51000002</v>
      </c>
      <c r="J73" s="148">
        <f>I73/G73</f>
        <v>-0.34857725140732237</v>
      </c>
      <c r="K73" s="200"/>
    </row>
    <row r="76" spans="2:13" x14ac:dyDescent="0.25">
      <c r="B76" s="6" t="s">
        <v>343</v>
      </c>
      <c r="M76" s="151" t="s">
        <v>251</v>
      </c>
    </row>
    <row r="77" spans="2:13" x14ac:dyDescent="0.25">
      <c r="B77" s="6" t="s">
        <v>344</v>
      </c>
    </row>
    <row r="78" spans="2:13" x14ac:dyDescent="0.25">
      <c r="B78" s="19" t="s">
        <v>345</v>
      </c>
    </row>
    <row r="79" spans="2:13" x14ac:dyDescent="0.25">
      <c r="B79" s="19" t="s">
        <v>636</v>
      </c>
    </row>
    <row r="80" spans="2:13" x14ac:dyDescent="0.25">
      <c r="B80" s="19" t="s">
        <v>346</v>
      </c>
    </row>
    <row r="82" spans="2:11" x14ac:dyDescent="0.25">
      <c r="B82" t="s">
        <v>303</v>
      </c>
    </row>
    <row r="83" spans="2:11" x14ac:dyDescent="0.25">
      <c r="B83" s="19" t="s">
        <v>321</v>
      </c>
    </row>
    <row r="85" spans="2:11" x14ac:dyDescent="0.25">
      <c r="B85" t="s">
        <v>637</v>
      </c>
    </row>
    <row r="86" spans="2:11" x14ac:dyDescent="0.25">
      <c r="B86" t="s">
        <v>325</v>
      </c>
    </row>
    <row r="88" spans="2:11" x14ac:dyDescent="0.25">
      <c r="B88" s="19" t="s">
        <v>12</v>
      </c>
      <c r="G88" s="135">
        <v>2020</v>
      </c>
      <c r="H88" s="137">
        <v>2019</v>
      </c>
      <c r="I88" s="137" t="s">
        <v>299</v>
      </c>
      <c r="J88" s="147" t="s">
        <v>300</v>
      </c>
      <c r="K88" s="158"/>
    </row>
    <row r="89" spans="2:11" x14ac:dyDescent="0.25">
      <c r="B89" s="6" t="s">
        <v>46</v>
      </c>
      <c r="G89" s="3">
        <v>2826717.52</v>
      </c>
      <c r="H89" s="21">
        <v>3811784.71</v>
      </c>
      <c r="I89" s="21">
        <f>G89-H89</f>
        <v>-985067.19</v>
      </c>
      <c r="J89" s="79">
        <f>I89/G89</f>
        <v>-0.34848448174616325</v>
      </c>
      <c r="K89" s="199"/>
    </row>
    <row r="90" spans="2:11" x14ac:dyDescent="0.25">
      <c r="B90" s="6" t="s">
        <v>47</v>
      </c>
      <c r="G90" s="3">
        <v>399008.37</v>
      </c>
      <c r="H90" s="21">
        <v>491968.43</v>
      </c>
      <c r="I90" s="21">
        <f t="shared" ref="I90:I95" si="7">G90-H90</f>
        <v>-92960.06</v>
      </c>
      <c r="J90" s="79">
        <f t="shared" ref="J90:J95" si="8">I90/G90</f>
        <v>-0.23297771923932323</v>
      </c>
      <c r="K90" s="199"/>
    </row>
    <row r="91" spans="2:11" x14ac:dyDescent="0.25">
      <c r="B91" s="6" t="s">
        <v>48</v>
      </c>
      <c r="G91" s="3"/>
      <c r="H91" s="21">
        <v>1852818.28</v>
      </c>
      <c r="I91" s="21">
        <f t="shared" si="7"/>
        <v>-1852818.28</v>
      </c>
      <c r="J91" s="79" t="e">
        <f t="shared" si="8"/>
        <v>#DIV/0!</v>
      </c>
      <c r="K91" s="199"/>
    </row>
    <row r="92" spans="2:11" x14ac:dyDescent="0.25">
      <c r="B92" s="6" t="s">
        <v>49</v>
      </c>
      <c r="G92" s="3"/>
      <c r="H92" s="21">
        <v>400000</v>
      </c>
      <c r="I92" s="21">
        <f t="shared" si="7"/>
        <v>-400000</v>
      </c>
      <c r="J92" s="79" t="e">
        <f t="shared" si="8"/>
        <v>#DIV/0!</v>
      </c>
      <c r="K92" s="199"/>
    </row>
    <row r="93" spans="2:11" x14ac:dyDescent="0.25">
      <c r="B93" s="6" t="s">
        <v>50</v>
      </c>
      <c r="G93" s="3"/>
      <c r="H93" s="21">
        <v>873256.11</v>
      </c>
      <c r="I93" s="21">
        <f t="shared" si="7"/>
        <v>-873256.11</v>
      </c>
      <c r="J93" s="79" t="e">
        <f t="shared" si="8"/>
        <v>#DIV/0!</v>
      </c>
      <c r="K93" s="199"/>
    </row>
    <row r="94" spans="2:11" x14ac:dyDescent="0.25">
      <c r="B94" s="6" t="s">
        <v>282</v>
      </c>
      <c r="G94" s="3">
        <v>5123347.76</v>
      </c>
      <c r="H94" s="21">
        <v>0</v>
      </c>
      <c r="I94" s="21">
        <f t="shared" si="7"/>
        <v>5123347.76</v>
      </c>
      <c r="J94" s="79">
        <f t="shared" si="8"/>
        <v>1</v>
      </c>
      <c r="K94" s="199"/>
    </row>
    <row r="95" spans="2:11" x14ac:dyDescent="0.25">
      <c r="B95" s="6" t="s">
        <v>326</v>
      </c>
      <c r="G95" s="3"/>
      <c r="H95" s="21">
        <v>194500</v>
      </c>
      <c r="I95" s="21">
        <f t="shared" si="7"/>
        <v>-194500</v>
      </c>
      <c r="J95" s="79" t="e">
        <f t="shared" si="8"/>
        <v>#DIV/0!</v>
      </c>
      <c r="K95" s="199"/>
    </row>
    <row r="96" spans="2:11" x14ac:dyDescent="0.25">
      <c r="B96" s="6" t="s">
        <v>327</v>
      </c>
      <c r="G96" s="149">
        <f>SUM(G89:G95)</f>
        <v>8349073.6500000004</v>
      </c>
      <c r="H96" s="150">
        <f>SUM(H89:H95)</f>
        <v>7624327.5300000003</v>
      </c>
      <c r="I96" s="153">
        <f>G96-H96</f>
        <v>724746.12000000011</v>
      </c>
      <c r="J96" s="148">
        <f>I96/G96</f>
        <v>8.6805572735605241E-2</v>
      </c>
      <c r="K96" s="200"/>
    </row>
    <row r="98" spans="2:13" x14ac:dyDescent="0.25">
      <c r="M98" s="21">
        <v>68576967.530000001</v>
      </c>
    </row>
    <row r="99" spans="2:13" x14ac:dyDescent="0.25">
      <c r="M99" s="21">
        <v>61474104.329999998</v>
      </c>
    </row>
    <row r="100" spans="2:13" x14ac:dyDescent="0.25">
      <c r="M100" s="21">
        <f>M98-M99</f>
        <v>7102863.200000003</v>
      </c>
    </row>
    <row r="101" spans="2:13" x14ac:dyDescent="0.25">
      <c r="B101" s="19" t="s">
        <v>328</v>
      </c>
    </row>
    <row r="102" spans="2:13" x14ac:dyDescent="0.25">
      <c r="M102" s="79">
        <f>M100/M98</f>
        <v>0.10357505523837506</v>
      </c>
    </row>
    <row r="103" spans="2:13" x14ac:dyDescent="0.25">
      <c r="B103" t="s">
        <v>329</v>
      </c>
    </row>
    <row r="104" spans="2:13" x14ac:dyDescent="0.25">
      <c r="B104" t="s">
        <v>638</v>
      </c>
    </row>
    <row r="105" spans="2:13" x14ac:dyDescent="0.25">
      <c r="B105" t="s">
        <v>330</v>
      </c>
    </row>
    <row r="107" spans="2:13" x14ac:dyDescent="0.25">
      <c r="B107" s="19" t="s">
        <v>12</v>
      </c>
      <c r="G107" s="135">
        <v>2020</v>
      </c>
      <c r="H107" s="137">
        <v>2019</v>
      </c>
      <c r="I107" s="137" t="s">
        <v>299</v>
      </c>
      <c r="J107" s="147" t="s">
        <v>300</v>
      </c>
      <c r="K107" s="158"/>
    </row>
    <row r="108" spans="2:13" x14ac:dyDescent="0.25">
      <c r="B108" s="1" t="s">
        <v>54</v>
      </c>
      <c r="G108" s="3">
        <f>61425300.02</f>
        <v>61425300.020000003</v>
      </c>
      <c r="H108" s="3">
        <v>57381035.460000001</v>
      </c>
      <c r="I108" s="18">
        <f>G108-H108</f>
        <v>4044264.5600000024</v>
      </c>
      <c r="J108" s="79">
        <f>I108/G108</f>
        <v>6.584037129136032E-2</v>
      </c>
      <c r="K108" s="199"/>
    </row>
    <row r="109" spans="2:13" x14ac:dyDescent="0.25">
      <c r="B109" s="1" t="s">
        <v>55</v>
      </c>
      <c r="G109" s="3">
        <v>2324474.39</v>
      </c>
      <c r="H109" s="3">
        <v>4093068.87</v>
      </c>
      <c r="I109" s="18">
        <f t="shared" ref="I109:I110" si="9">G109-H109</f>
        <v>-1768594.48</v>
      </c>
      <c r="J109" s="79">
        <f t="shared" ref="J109:J110" si="10">I109/G109</f>
        <v>-0.76085780407328985</v>
      </c>
      <c r="K109" s="199"/>
    </row>
    <row r="110" spans="2:13" x14ac:dyDescent="0.25">
      <c r="G110" s="21">
        <v>0</v>
      </c>
      <c r="H110" s="21">
        <v>0</v>
      </c>
      <c r="I110" s="18">
        <f t="shared" si="9"/>
        <v>0</v>
      </c>
      <c r="J110" s="79" t="e">
        <f t="shared" si="10"/>
        <v>#DIV/0!</v>
      </c>
      <c r="K110" s="157"/>
    </row>
    <row r="111" spans="2:13" x14ac:dyDescent="0.25">
      <c r="B111" s="19" t="s">
        <v>56</v>
      </c>
      <c r="G111" s="140">
        <f>SUM(G108:G110)</f>
        <v>63749774.410000004</v>
      </c>
      <c r="H111" s="150">
        <f>SUM(H108:H110)</f>
        <v>61474104.329999998</v>
      </c>
      <c r="I111" s="153">
        <f>G111-H111</f>
        <v>2275670.0800000057</v>
      </c>
      <c r="J111" s="148">
        <f>I111/G111</f>
        <v>3.5696911888099737E-2</v>
      </c>
      <c r="K111" s="200"/>
    </row>
    <row r="116" spans="2:11" x14ac:dyDescent="0.25">
      <c r="B116" s="19" t="s">
        <v>332</v>
      </c>
    </row>
    <row r="117" spans="2:11" x14ac:dyDescent="0.25">
      <c r="B117" s="19"/>
    </row>
    <row r="118" spans="2:11" x14ac:dyDescent="0.25">
      <c r="B118" t="s">
        <v>334</v>
      </c>
    </row>
    <row r="119" spans="2:11" x14ac:dyDescent="0.25">
      <c r="B119" t="s">
        <v>639</v>
      </c>
    </row>
    <row r="123" spans="2:11" x14ac:dyDescent="0.25">
      <c r="B123" s="19" t="s">
        <v>12</v>
      </c>
    </row>
    <row r="124" spans="2:11" x14ac:dyDescent="0.25">
      <c r="B124" s="1" t="s">
        <v>58</v>
      </c>
      <c r="G124" s="135">
        <v>2020</v>
      </c>
      <c r="H124" s="137">
        <v>2019</v>
      </c>
      <c r="I124" s="137" t="s">
        <v>299</v>
      </c>
      <c r="J124" s="147" t="s">
        <v>300</v>
      </c>
      <c r="K124" s="158"/>
    </row>
    <row r="125" spans="2:11" x14ac:dyDescent="0.25">
      <c r="B125" s="1" t="s">
        <v>59</v>
      </c>
      <c r="G125" s="3">
        <v>12067.439999999999</v>
      </c>
      <c r="H125" s="21">
        <v>36884.32</v>
      </c>
      <c r="I125" s="21">
        <f>G125-H125</f>
        <v>-24816.880000000001</v>
      </c>
      <c r="J125" s="154">
        <f>I125/G125</f>
        <v>-2.0565157150149496</v>
      </c>
      <c r="K125" s="201"/>
    </row>
    <row r="126" spans="2:11" x14ac:dyDescent="0.25">
      <c r="B126" s="1" t="s">
        <v>60</v>
      </c>
      <c r="G126" s="3">
        <v>12500.029999999988</v>
      </c>
      <c r="H126" s="21">
        <v>37500.120000000003</v>
      </c>
      <c r="I126" s="21">
        <f t="shared" ref="I126:I128" si="11">G126-H126</f>
        <v>-25000.090000000015</v>
      </c>
      <c r="J126" s="154">
        <f t="shared" ref="J126:J128" si="12">I126/G126</f>
        <v>-2.0000023999942433</v>
      </c>
      <c r="K126" s="201"/>
    </row>
    <row r="127" spans="2:11" x14ac:dyDescent="0.25">
      <c r="B127" s="1" t="s">
        <v>61</v>
      </c>
      <c r="G127" s="3">
        <v>166147.28000000009</v>
      </c>
      <c r="H127" s="21">
        <v>498441.69</v>
      </c>
      <c r="I127" s="21">
        <f t="shared" si="11"/>
        <v>-332294.40999999992</v>
      </c>
      <c r="J127" s="154">
        <f t="shared" si="12"/>
        <v>-1.9999990971865429</v>
      </c>
      <c r="K127" s="201"/>
    </row>
    <row r="128" spans="2:11" x14ac:dyDescent="0.25">
      <c r="B128" s="6" t="s">
        <v>62</v>
      </c>
      <c r="G128" s="3">
        <v>62350.049999999952</v>
      </c>
      <c r="H128" s="21">
        <v>187050.06</v>
      </c>
      <c r="I128" s="21">
        <f t="shared" si="11"/>
        <v>-124700.01000000004</v>
      </c>
      <c r="J128" s="154">
        <f t="shared" si="12"/>
        <v>-1.9999985565368454</v>
      </c>
      <c r="K128" s="201"/>
    </row>
    <row r="129" spans="2:11" x14ac:dyDescent="0.25">
      <c r="G129" s="140">
        <f>SUM(G125:G128)</f>
        <v>253064.80000000002</v>
      </c>
      <c r="H129" s="141">
        <f>SUM(H125:H128)</f>
        <v>759876.19</v>
      </c>
      <c r="I129" s="141">
        <f>G129-H129</f>
        <v>-506811.3899999999</v>
      </c>
      <c r="J129" s="155">
        <f>I129/G129</f>
        <v>-2.0026941320958107</v>
      </c>
      <c r="K129" s="202"/>
    </row>
    <row r="130" spans="2:11" x14ac:dyDescent="0.25">
      <c r="I130" s="21" t="s">
        <v>251</v>
      </c>
      <c r="J130" s="21" t="s">
        <v>251</v>
      </c>
      <c r="K130" s="79" t="s">
        <v>251</v>
      </c>
    </row>
    <row r="135" spans="2:11" x14ac:dyDescent="0.25">
      <c r="B135" s="19" t="s">
        <v>333</v>
      </c>
    </row>
    <row r="138" spans="2:11" x14ac:dyDescent="0.25">
      <c r="B138" s="107" t="s">
        <v>268</v>
      </c>
      <c r="C138" s="107"/>
      <c r="D138" s="107"/>
      <c r="E138" s="107"/>
      <c r="F138" s="107"/>
      <c r="G138" s="107"/>
      <c r="H138" s="107"/>
      <c r="I138" s="107"/>
      <c r="J138" s="107"/>
    </row>
    <row r="139" spans="2:11" ht="45" x14ac:dyDescent="0.25">
      <c r="B139" s="24"/>
      <c r="C139" s="25"/>
      <c r="D139" s="26" t="s">
        <v>64</v>
      </c>
      <c r="E139" s="25"/>
      <c r="F139" s="26" t="s">
        <v>65</v>
      </c>
      <c r="G139" s="25"/>
      <c r="H139" s="51" t="s">
        <v>66</v>
      </c>
      <c r="I139" s="52" t="s">
        <v>67</v>
      </c>
      <c r="J139" s="44"/>
    </row>
    <row r="140" spans="2:11" x14ac:dyDescent="0.25">
      <c r="B140" s="27" t="s">
        <v>189</v>
      </c>
      <c r="C140" s="25"/>
      <c r="D140" s="28">
        <v>438986976.56999999</v>
      </c>
      <c r="E140" s="29"/>
      <c r="F140" s="28">
        <v>114944663.34</v>
      </c>
      <c r="G140" s="29"/>
      <c r="H140" s="43">
        <v>2050790.8</v>
      </c>
      <c r="I140" s="43">
        <f>SUM(D140:H140)</f>
        <v>555982430.70999992</v>
      </c>
      <c r="J140" s="44"/>
    </row>
    <row r="141" spans="2:11" ht="15.75" thickBot="1" x14ac:dyDescent="0.3">
      <c r="B141" s="30" t="s">
        <v>68</v>
      </c>
      <c r="C141" s="25"/>
      <c r="D141" s="64">
        <v>1532258.32</v>
      </c>
      <c r="E141" s="65"/>
      <c r="F141" s="64">
        <v>142219.5</v>
      </c>
      <c r="G141" s="65"/>
      <c r="H141" s="64">
        <v>0</v>
      </c>
      <c r="I141" s="66">
        <f>SUM(D141:H141)</f>
        <v>1674477.82</v>
      </c>
      <c r="J141" s="44"/>
    </row>
    <row r="142" spans="2:11" ht="15.75" thickBot="1" x14ac:dyDescent="0.3">
      <c r="B142" s="30" t="s">
        <v>70</v>
      </c>
      <c r="C142" s="25"/>
      <c r="D142" s="31">
        <f>SUM(D140:D141)</f>
        <v>440519234.88999999</v>
      </c>
      <c r="E142" s="29"/>
      <c r="F142" s="31">
        <f>SUM(F140:F141)</f>
        <v>115086882.84</v>
      </c>
      <c r="G142" s="29"/>
      <c r="H142" s="45">
        <f>SUM(H140:H141)</f>
        <v>2050790.8</v>
      </c>
      <c r="I142" s="45">
        <f>SUM(I140:I141)</f>
        <v>557656908.52999997</v>
      </c>
      <c r="J142" s="44"/>
    </row>
    <row r="143" spans="2:11" ht="15.75" thickTop="1" x14ac:dyDescent="0.25">
      <c r="B143" s="27" t="s">
        <v>71</v>
      </c>
      <c r="C143" s="25"/>
      <c r="D143" s="32"/>
      <c r="E143" s="29"/>
      <c r="F143" s="32"/>
      <c r="G143" s="29"/>
      <c r="H143" s="46"/>
      <c r="I143" s="46"/>
      <c r="J143" s="44"/>
    </row>
    <row r="144" spans="2:11" x14ac:dyDescent="0.25">
      <c r="B144" s="30" t="s">
        <v>72</v>
      </c>
      <c r="C144" s="25"/>
      <c r="D144" s="28">
        <v>-396177677.33999997</v>
      </c>
      <c r="E144" s="29"/>
      <c r="F144" s="28">
        <v>-87374170.329999998</v>
      </c>
      <c r="G144" s="29"/>
      <c r="H144" s="43">
        <v>-1539566.95</v>
      </c>
      <c r="I144" s="43">
        <f>SUM(D144:H144)</f>
        <v>-485091414.61999995</v>
      </c>
      <c r="J144" s="44"/>
    </row>
    <row r="145" spans="2:12" x14ac:dyDescent="0.25">
      <c r="B145" s="30" t="s">
        <v>73</v>
      </c>
      <c r="C145" s="25"/>
      <c r="D145" s="64">
        <v>-11827818.73</v>
      </c>
      <c r="E145" s="65"/>
      <c r="F145" s="64">
        <v>-2970929.71</v>
      </c>
      <c r="G145" s="65"/>
      <c r="H145" s="66">
        <v>-38809.22</v>
      </c>
      <c r="I145" s="66">
        <f>SUM(D145:H145)</f>
        <v>-14837557.660000002</v>
      </c>
      <c r="J145" s="44"/>
      <c r="L145" s="79"/>
    </row>
    <row r="146" spans="2:12" ht="15.75" thickBot="1" x14ac:dyDescent="0.3">
      <c r="B146" s="30" t="s">
        <v>69</v>
      </c>
      <c r="C146" s="25"/>
      <c r="D146" s="33">
        <v>0</v>
      </c>
      <c r="E146" s="29"/>
      <c r="F146" s="33">
        <v>0</v>
      </c>
      <c r="G146" s="29"/>
      <c r="H146" s="33">
        <v>0</v>
      </c>
      <c r="I146" s="28">
        <f>SUM(D146:H146)</f>
        <v>0</v>
      </c>
      <c r="J146" s="44"/>
    </row>
    <row r="147" spans="2:12" ht="15.75" thickBot="1" x14ac:dyDescent="0.3">
      <c r="B147" s="30" t="s">
        <v>74</v>
      </c>
      <c r="C147" s="25"/>
      <c r="D147" s="33">
        <f>SUM(D144:D146)</f>
        <v>-408005496.06999999</v>
      </c>
      <c r="E147" s="29"/>
      <c r="F147" s="33">
        <f>SUM(F144:F146)</f>
        <v>-90345100.039999992</v>
      </c>
      <c r="G147" s="29"/>
      <c r="H147" s="47">
        <f>SUM(H144:H146)</f>
        <v>-1578376.17</v>
      </c>
      <c r="I147" s="48">
        <f>SUM(I144:I146)</f>
        <v>-499928972.27999997</v>
      </c>
      <c r="J147" s="44"/>
    </row>
    <row r="148" spans="2:12" ht="15.75" thickBot="1" x14ac:dyDescent="0.3">
      <c r="B148" s="34" t="s">
        <v>190</v>
      </c>
      <c r="C148" s="25"/>
      <c r="D148" s="35">
        <f t="shared" ref="D148" si="13">+D142+D147</f>
        <v>32513738.819999993</v>
      </c>
      <c r="E148" s="29"/>
      <c r="F148" s="35">
        <f t="shared" ref="F148" si="14">+F142+F147</f>
        <v>24741782.800000012</v>
      </c>
      <c r="G148" s="29"/>
      <c r="H148" s="49">
        <f t="shared" ref="H148" si="15">+H142+H147</f>
        <v>472414.63000000012</v>
      </c>
      <c r="I148" s="49">
        <f>+I142+I147</f>
        <v>57727936.25</v>
      </c>
      <c r="J148" s="44"/>
      <c r="L148" s="112"/>
    </row>
    <row r="149" spans="2:12" ht="15.75" thickTop="1" x14ac:dyDescent="0.25">
      <c r="L149" s="112"/>
    </row>
    <row r="150" spans="2:12" x14ac:dyDescent="0.25">
      <c r="L150" s="112"/>
    </row>
    <row r="152" spans="2:12" ht="45" x14ac:dyDescent="0.25">
      <c r="B152" s="24"/>
      <c r="C152" s="25"/>
      <c r="D152" s="26" t="s">
        <v>64</v>
      </c>
      <c r="E152" s="25"/>
      <c r="F152" s="26" t="s">
        <v>65</v>
      </c>
      <c r="G152" s="25"/>
      <c r="H152" s="51" t="s">
        <v>66</v>
      </c>
      <c r="I152" s="52" t="s">
        <v>67</v>
      </c>
      <c r="J152" s="44"/>
    </row>
    <row r="153" spans="2:12" x14ac:dyDescent="0.25">
      <c r="B153" s="27" t="s">
        <v>335</v>
      </c>
      <c r="C153" s="25"/>
      <c r="D153" s="28">
        <v>414514802.56</v>
      </c>
      <c r="E153" s="29"/>
      <c r="F153" s="28">
        <v>110181269.08</v>
      </c>
      <c r="G153" s="29"/>
      <c r="H153" s="43">
        <v>1983790.8</v>
      </c>
      <c r="I153" s="43">
        <f>SUM(D153:H153)</f>
        <v>526679862.44</v>
      </c>
      <c r="J153" s="44"/>
    </row>
    <row r="154" spans="2:12" x14ac:dyDescent="0.25">
      <c r="B154" s="30" t="s">
        <v>68</v>
      </c>
      <c r="C154" s="25"/>
      <c r="D154" s="64">
        <v>30987360.850000001</v>
      </c>
      <c r="E154" s="65"/>
      <c r="F154" s="64">
        <v>4639302.42</v>
      </c>
      <c r="G154" s="65"/>
      <c r="H154" s="87">
        <v>67000</v>
      </c>
      <c r="I154" s="66">
        <f>SUM(D154:H154)</f>
        <v>35693663.270000003</v>
      </c>
      <c r="J154" s="44"/>
    </row>
    <row r="155" spans="2:12" ht="15.75" thickBot="1" x14ac:dyDescent="0.3">
      <c r="B155" s="30" t="s">
        <v>69</v>
      </c>
      <c r="C155" s="25"/>
      <c r="D155" s="64">
        <v>-9584982.25</v>
      </c>
      <c r="E155" s="65"/>
      <c r="F155" s="64">
        <v>-2840556.95</v>
      </c>
      <c r="G155" s="65"/>
      <c r="H155" s="87">
        <v>0</v>
      </c>
      <c r="I155" s="66">
        <f>SUM(D155:H155)</f>
        <v>-12425539.199999999</v>
      </c>
      <c r="J155" s="44"/>
    </row>
    <row r="156" spans="2:12" ht="15.75" thickBot="1" x14ac:dyDescent="0.3">
      <c r="B156" s="30" t="s">
        <v>70</v>
      </c>
      <c r="C156" s="25"/>
      <c r="D156" s="31">
        <f>SUM(D153:D155)</f>
        <v>435917181.16000003</v>
      </c>
      <c r="E156" s="29"/>
      <c r="F156" s="31">
        <f>SUM(F153:F155)</f>
        <v>111980014.55</v>
      </c>
      <c r="G156" s="29"/>
      <c r="H156" s="31">
        <f>SUM(H153:H155)</f>
        <v>2050790.8</v>
      </c>
      <c r="I156" s="45">
        <f>SUM(I153:I155)</f>
        <v>549947986.50999999</v>
      </c>
      <c r="J156" s="44"/>
      <c r="L156" s="112"/>
    </row>
    <row r="157" spans="2:12" ht="15.75" thickTop="1" x14ac:dyDescent="0.25">
      <c r="B157" s="27" t="s">
        <v>71</v>
      </c>
      <c r="C157" s="25"/>
      <c r="D157" s="32"/>
      <c r="E157" s="29"/>
      <c r="F157" s="32"/>
      <c r="G157" s="29"/>
      <c r="H157" s="46"/>
      <c r="I157" s="46"/>
      <c r="J157" s="44"/>
    </row>
    <row r="158" spans="2:12" x14ac:dyDescent="0.25">
      <c r="B158" s="30" t="s">
        <v>72</v>
      </c>
      <c r="C158" s="25"/>
      <c r="D158" s="28">
        <v>-326020023.57999998</v>
      </c>
      <c r="E158" s="29"/>
      <c r="F158" s="28">
        <v>-67809095.790000007</v>
      </c>
      <c r="G158" s="29"/>
      <c r="H158" s="43">
        <v>-1274602.4099999999</v>
      </c>
      <c r="I158" s="43">
        <f>SUM(D158:H158)</f>
        <v>-395103721.78000003</v>
      </c>
      <c r="J158" s="44"/>
    </row>
    <row r="159" spans="2:12" x14ac:dyDescent="0.25">
      <c r="B159" s="30" t="s">
        <v>73</v>
      </c>
      <c r="C159" s="25"/>
      <c r="D159" s="64">
        <v>-18418038.629999999</v>
      </c>
      <c r="E159" s="65"/>
      <c r="F159" s="64">
        <v>-5512496.9299999997</v>
      </c>
      <c r="G159" s="65"/>
      <c r="H159" s="66">
        <v>-70918.44</v>
      </c>
      <c r="I159" s="66">
        <f>SUM(D159:H159)</f>
        <v>-24001454</v>
      </c>
      <c r="J159" s="44"/>
      <c r="L159" s="79"/>
    </row>
    <row r="160" spans="2:12" ht="15.75" thickBot="1" x14ac:dyDescent="0.3">
      <c r="B160" s="30" t="s">
        <v>69</v>
      </c>
      <c r="C160" s="25"/>
      <c r="D160" s="33">
        <v>8467958.6500000004</v>
      </c>
      <c r="E160" s="29"/>
      <c r="F160" s="33">
        <v>802070.94</v>
      </c>
      <c r="G160" s="29"/>
      <c r="H160" s="33">
        <v>0</v>
      </c>
      <c r="I160" s="28">
        <f>SUM(D160:H160)</f>
        <v>9270029.5899999999</v>
      </c>
      <c r="J160" s="44"/>
    </row>
    <row r="161" spans="2:12" ht="15.75" thickBot="1" x14ac:dyDescent="0.3">
      <c r="B161" s="30" t="s">
        <v>74</v>
      </c>
      <c r="C161" s="25"/>
      <c r="D161" s="33">
        <f>SUM(D158:D160)</f>
        <v>-335970103.56</v>
      </c>
      <c r="E161" s="29"/>
      <c r="F161" s="33">
        <f>SUM(F158:F160)</f>
        <v>-72519521.780000001</v>
      </c>
      <c r="G161" s="29"/>
      <c r="H161" s="47">
        <f>SUM(H158:H160)</f>
        <v>-1345520.8499999999</v>
      </c>
      <c r="I161" s="48">
        <f>SUM(I158:I160)</f>
        <v>-409835146.19000006</v>
      </c>
      <c r="J161" s="44"/>
    </row>
    <row r="162" spans="2:12" ht="15.75" thickBot="1" x14ac:dyDescent="0.3">
      <c r="B162" s="34" t="s">
        <v>336</v>
      </c>
      <c r="C162" s="25"/>
      <c r="D162" s="35">
        <f t="shared" ref="D162" si="16">+D156+D161</f>
        <v>99947077.600000024</v>
      </c>
      <c r="E162" s="29"/>
      <c r="F162" s="35">
        <f t="shared" ref="F162" si="17">+F156+F161</f>
        <v>39460492.769999996</v>
      </c>
      <c r="G162" s="29"/>
      <c r="H162" s="49">
        <f t="shared" ref="H162" si="18">+H156+H161</f>
        <v>705269.95000000019</v>
      </c>
      <c r="I162" s="49">
        <f>+I156+I161</f>
        <v>140112840.31999993</v>
      </c>
      <c r="J162" s="44"/>
    </row>
    <row r="163" spans="2:12" ht="15.75" thickTop="1" x14ac:dyDescent="0.25">
      <c r="L163" s="18"/>
    </row>
    <row r="164" spans="2:12" x14ac:dyDescent="0.25">
      <c r="L164" s="18">
        <f>L163/57717936.25</f>
        <v>0</v>
      </c>
    </row>
    <row r="165" spans="2:12" x14ac:dyDescent="0.25">
      <c r="B165" t="s">
        <v>347</v>
      </c>
    </row>
    <row r="166" spans="2:12" x14ac:dyDescent="0.25">
      <c r="B166" t="s">
        <v>348</v>
      </c>
    </row>
    <row r="167" spans="2:12" x14ac:dyDescent="0.25">
      <c r="B167" t="s">
        <v>251</v>
      </c>
    </row>
    <row r="171" spans="2:12" x14ac:dyDescent="0.25">
      <c r="B171" s="19" t="s">
        <v>338</v>
      </c>
    </row>
    <row r="173" spans="2:12" x14ac:dyDescent="0.25">
      <c r="B173" s="19" t="s">
        <v>255</v>
      </c>
    </row>
    <row r="175" spans="2:12" x14ac:dyDescent="0.25">
      <c r="B175" s="19" t="s">
        <v>339</v>
      </c>
    </row>
    <row r="177" spans="2:11" x14ac:dyDescent="0.25">
      <c r="B177" t="s">
        <v>340</v>
      </c>
      <c r="J177" t="s">
        <v>251</v>
      </c>
    </row>
    <row r="178" spans="2:11" x14ac:dyDescent="0.25">
      <c r="B178" t="s">
        <v>341</v>
      </c>
      <c r="K178" s="79" t="s">
        <v>251</v>
      </c>
    </row>
    <row r="179" spans="2:11" x14ac:dyDescent="0.25">
      <c r="B179" t="s">
        <v>640</v>
      </c>
    </row>
    <row r="180" spans="2:11" x14ac:dyDescent="0.25">
      <c r="I180" t="s">
        <v>251</v>
      </c>
    </row>
    <row r="181" spans="2:11" x14ac:dyDescent="0.25">
      <c r="B181" s="19" t="s">
        <v>251</v>
      </c>
      <c r="G181" s="157"/>
      <c r="H181" s="158" t="s">
        <v>251</v>
      </c>
      <c r="I181" s="158" t="s">
        <v>251</v>
      </c>
      <c r="J181" s="158" t="s">
        <v>251</v>
      </c>
      <c r="K181" s="158" t="s">
        <v>251</v>
      </c>
    </row>
    <row r="182" spans="2:11" x14ac:dyDescent="0.25">
      <c r="B182" s="19" t="s">
        <v>351</v>
      </c>
      <c r="F182" s="135">
        <v>2020</v>
      </c>
      <c r="G182" s="137">
        <v>2019</v>
      </c>
      <c r="H182" s="137" t="s">
        <v>350</v>
      </c>
      <c r="I182" s="147" t="s">
        <v>300</v>
      </c>
      <c r="J182" s="158"/>
    </row>
    <row r="183" spans="2:11" x14ac:dyDescent="0.25">
      <c r="B183" t="s">
        <v>349</v>
      </c>
      <c r="F183" s="21">
        <v>52320883.390000001</v>
      </c>
      <c r="G183" s="21">
        <v>59253164.229999997</v>
      </c>
      <c r="H183" s="18">
        <f>F183-G183</f>
        <v>-6932280.8399999961</v>
      </c>
      <c r="I183" s="79">
        <f>H183/F183</f>
        <v>-0.13249548537486946</v>
      </c>
      <c r="J183" s="199"/>
    </row>
    <row r="184" spans="2:11" x14ac:dyDescent="0.25">
      <c r="B184" t="s">
        <v>352</v>
      </c>
      <c r="F184" s="21">
        <f>74895+2190716.47+32320</f>
        <v>2297931.4700000002</v>
      </c>
      <c r="G184" s="21">
        <v>2707120.01</v>
      </c>
      <c r="H184" s="18">
        <f t="shared" ref="H184:H185" si="19">F184-G184</f>
        <v>-409188.53999999957</v>
      </c>
      <c r="I184" s="79">
        <f t="shared" ref="I184:I185" si="20">H184/F184</f>
        <v>-0.17806820844835705</v>
      </c>
      <c r="J184" s="199"/>
    </row>
    <row r="185" spans="2:11" x14ac:dyDescent="0.25">
      <c r="B185" t="s">
        <v>353</v>
      </c>
      <c r="F185" s="21">
        <f>40000+35400+304440+32320.2+670500+2255604.04+1063833.33+23400+4661+21240</f>
        <v>4451398.57</v>
      </c>
      <c r="G185" s="21">
        <v>1530693.11</v>
      </c>
      <c r="H185" s="18">
        <f t="shared" si="19"/>
        <v>2920705.46</v>
      </c>
      <c r="I185" s="79">
        <f t="shared" si="20"/>
        <v>0.65613209288513563</v>
      </c>
      <c r="J185" s="199"/>
    </row>
    <row r="186" spans="2:11" x14ac:dyDescent="0.25">
      <c r="B186" t="s">
        <v>79</v>
      </c>
      <c r="F186" s="140">
        <f>SUM(F183:F185)</f>
        <v>59070213.43</v>
      </c>
      <c r="G186" s="141">
        <f>SUM(G183:G185)</f>
        <v>63490977.349999994</v>
      </c>
      <c r="H186" s="150">
        <f>F186-G186</f>
        <v>-4420763.9199999943</v>
      </c>
      <c r="I186" s="148">
        <f>H186/F186</f>
        <v>-7.4839139107542488E-2</v>
      </c>
      <c r="J186" s="200"/>
    </row>
    <row r="187" spans="2:11" x14ac:dyDescent="0.25">
      <c r="G187" t="s">
        <v>251</v>
      </c>
      <c r="J187" t="s">
        <v>280</v>
      </c>
    </row>
    <row r="188" spans="2:11" x14ac:dyDescent="0.25">
      <c r="J188" t="s">
        <v>251</v>
      </c>
    </row>
    <row r="189" spans="2:11" x14ac:dyDescent="0.25">
      <c r="J189" t="s">
        <v>251</v>
      </c>
    </row>
    <row r="190" spans="2:11" x14ac:dyDescent="0.25">
      <c r="B190" s="19" t="s">
        <v>364</v>
      </c>
      <c r="H190" t="s">
        <v>251</v>
      </c>
      <c r="I190" t="s">
        <v>251</v>
      </c>
      <c r="J190" t="s">
        <v>251</v>
      </c>
    </row>
    <row r="191" spans="2:11" x14ac:dyDescent="0.25">
      <c r="B191" s="19"/>
    </row>
    <row r="192" spans="2:11" x14ac:dyDescent="0.25">
      <c r="B192" s="19" t="s">
        <v>370</v>
      </c>
    </row>
    <row r="193" spans="2:14" x14ac:dyDescent="0.25">
      <c r="B193" s="19" t="s">
        <v>641</v>
      </c>
    </row>
    <row r="194" spans="2:14" x14ac:dyDescent="0.25">
      <c r="B194" s="19" t="s">
        <v>372</v>
      </c>
    </row>
    <row r="195" spans="2:14" x14ac:dyDescent="0.25">
      <c r="B195" s="19"/>
    </row>
    <row r="196" spans="2:14" x14ac:dyDescent="0.25">
      <c r="B196" s="19"/>
    </row>
    <row r="197" spans="2:14" x14ac:dyDescent="0.25">
      <c r="B197" s="19"/>
    </row>
    <row r="198" spans="2:14" x14ac:dyDescent="0.25">
      <c r="B198" s="19" t="s">
        <v>351</v>
      </c>
      <c r="F198" s="135">
        <v>2020</v>
      </c>
      <c r="G198" s="137">
        <v>2019</v>
      </c>
      <c r="H198" s="137" t="s">
        <v>350</v>
      </c>
      <c r="I198" s="147" t="s">
        <v>300</v>
      </c>
      <c r="J198" s="158"/>
    </row>
    <row r="199" spans="2:14" x14ac:dyDescent="0.25">
      <c r="B199" t="s">
        <v>365</v>
      </c>
      <c r="F199" s="53">
        <v>0</v>
      </c>
      <c r="G199" s="21">
        <v>0</v>
      </c>
      <c r="H199" s="21">
        <f>F199-G199</f>
        <v>0</v>
      </c>
      <c r="I199" s="79" t="e">
        <f>H199/F199</f>
        <v>#DIV/0!</v>
      </c>
      <c r="J199" s="199"/>
    </row>
    <row r="200" spans="2:14" x14ac:dyDescent="0.25">
      <c r="B200" t="s">
        <v>366</v>
      </c>
      <c r="F200" s="53">
        <f>4430.09+41416.545+1500+322.4+872.1+950+1035+322.5+206.4+156.5+360</f>
        <v>51571.534999999996</v>
      </c>
      <c r="G200" s="21">
        <v>9931.16</v>
      </c>
      <c r="H200" s="21">
        <f t="shared" ref="H200:H203" si="21">F200-G200</f>
        <v>41640.375</v>
      </c>
      <c r="I200" s="79">
        <f t="shared" ref="I200:I203" si="22">H200/F200</f>
        <v>0.80742942788109762</v>
      </c>
      <c r="J200" s="199"/>
    </row>
    <row r="201" spans="2:14" x14ac:dyDescent="0.25">
      <c r="B201" t="s">
        <v>367</v>
      </c>
      <c r="F201" s="53">
        <f>600+1200+6575+3200</f>
        <v>11575</v>
      </c>
      <c r="G201" s="21">
        <v>110406.18</v>
      </c>
      <c r="H201" s="21">
        <f t="shared" si="21"/>
        <v>-98831.18</v>
      </c>
      <c r="I201" s="79">
        <f t="shared" si="22"/>
        <v>-8.5383308855291578</v>
      </c>
      <c r="J201" s="199"/>
    </row>
    <row r="202" spans="2:14" x14ac:dyDescent="0.25">
      <c r="B202" t="s">
        <v>368</v>
      </c>
      <c r="F202" s="53">
        <f>5760+5400</f>
        <v>11160</v>
      </c>
      <c r="G202" s="21">
        <v>19925.84</v>
      </c>
      <c r="H202" s="21">
        <f t="shared" si="21"/>
        <v>-8765.84</v>
      </c>
      <c r="I202" s="79">
        <f t="shared" si="22"/>
        <v>-0.78546953405017927</v>
      </c>
      <c r="J202" s="199"/>
    </row>
    <row r="203" spans="2:14" x14ac:dyDescent="0.25">
      <c r="B203" t="s">
        <v>84</v>
      </c>
      <c r="F203" s="53">
        <v>0</v>
      </c>
      <c r="G203" s="21">
        <v>0</v>
      </c>
      <c r="H203" s="21">
        <f t="shared" si="21"/>
        <v>0</v>
      </c>
      <c r="I203" s="79" t="e">
        <f t="shared" si="22"/>
        <v>#DIV/0!</v>
      </c>
      <c r="J203" s="199"/>
    </row>
    <row r="204" spans="2:14" x14ac:dyDescent="0.25">
      <c r="B204" s="19" t="s">
        <v>369</v>
      </c>
      <c r="F204" s="140">
        <f>SUM(F199:F203)</f>
        <v>74306.535000000003</v>
      </c>
      <c r="G204" s="140">
        <f>SUM(G199:G203)</f>
        <v>140263.18</v>
      </c>
      <c r="H204" s="141">
        <f>F204-G204</f>
        <v>-65956.64499999999</v>
      </c>
      <c r="I204" s="148">
        <f>H204/F204</f>
        <v>-0.88762912979322728</v>
      </c>
      <c r="J204" s="200"/>
    </row>
    <row r="205" spans="2:14" x14ac:dyDescent="0.25">
      <c r="N205" s="79">
        <f>136198370.42/597041042.92</f>
        <v>0.22812229081250915</v>
      </c>
    </row>
    <row r="208" spans="2:14" x14ac:dyDescent="0.25">
      <c r="B208" s="19" t="s">
        <v>373</v>
      </c>
    </row>
    <row r="210" spans="2:13" x14ac:dyDescent="0.25">
      <c r="B210" t="s">
        <v>642</v>
      </c>
    </row>
    <row r="211" spans="2:13" x14ac:dyDescent="0.25">
      <c r="B211" t="s">
        <v>643</v>
      </c>
    </row>
    <row r="213" spans="2:13" x14ac:dyDescent="0.25">
      <c r="B213" s="19" t="s">
        <v>351</v>
      </c>
      <c r="G213" s="135">
        <v>2020</v>
      </c>
      <c r="H213" s="137">
        <v>2019</v>
      </c>
      <c r="I213" s="137" t="s">
        <v>350</v>
      </c>
      <c r="J213" s="147" t="s">
        <v>300</v>
      </c>
    </row>
    <row r="214" spans="2:13" x14ac:dyDescent="0.25">
      <c r="B214" s="185" t="s">
        <v>88</v>
      </c>
      <c r="G214" s="94">
        <v>534638142.77999997</v>
      </c>
      <c r="H214" s="21">
        <v>534638142.77999997</v>
      </c>
      <c r="I214" s="18">
        <f>G214-H214</f>
        <v>0</v>
      </c>
      <c r="J214" s="18">
        <f>I214/G214</f>
        <v>0</v>
      </c>
    </row>
    <row r="215" spans="2:13" x14ac:dyDescent="0.25">
      <c r="B215" s="185" t="s">
        <v>262</v>
      </c>
      <c r="G215" s="101">
        <v>34736290.729999997</v>
      </c>
      <c r="H215" s="21">
        <v>71916803.780000001</v>
      </c>
      <c r="I215" s="18">
        <f t="shared" ref="I215:I216" si="23">G215-H215</f>
        <v>-37180513.050000004</v>
      </c>
      <c r="J215" s="21">
        <f>I215/G215</f>
        <v>-1.0703650927785751</v>
      </c>
    </row>
    <row r="216" spans="2:13" x14ac:dyDescent="0.25">
      <c r="B216" s="185" t="s">
        <v>263</v>
      </c>
      <c r="G216" s="94">
        <v>42081665.32</v>
      </c>
      <c r="H216" s="21">
        <v>126684466.78</v>
      </c>
      <c r="I216" s="18">
        <f t="shared" si="23"/>
        <v>-84602801.460000008</v>
      </c>
      <c r="J216" s="21">
        <f t="shared" ref="J216" si="24">I216/G216</f>
        <v>-2.0104432848999241</v>
      </c>
    </row>
    <row r="217" spans="2:13" x14ac:dyDescent="0.25">
      <c r="B217" s="188" t="s">
        <v>264</v>
      </c>
      <c r="G217" s="186">
        <f>SUM(G214:G216)</f>
        <v>611456098.83000004</v>
      </c>
      <c r="H217" s="187">
        <f>SUM(H214:H216)</f>
        <v>733239413.33999991</v>
      </c>
      <c r="I217" s="187">
        <f>G217-H217</f>
        <v>-121783314.50999987</v>
      </c>
      <c r="J217" s="148">
        <f>I217/G217</f>
        <v>-0.19916935123065746</v>
      </c>
    </row>
    <row r="221" spans="2:13" x14ac:dyDescent="0.25">
      <c r="B221" s="19" t="s">
        <v>375</v>
      </c>
      <c r="M221" t="s">
        <v>251</v>
      </c>
    </row>
    <row r="223" spans="2:13" x14ac:dyDescent="0.25">
      <c r="B223" t="s">
        <v>376</v>
      </c>
    </row>
    <row r="224" spans="2:13" x14ac:dyDescent="0.25">
      <c r="B224" t="s">
        <v>377</v>
      </c>
    </row>
    <row r="225" spans="2:12" x14ac:dyDescent="0.25">
      <c r="B225" t="s">
        <v>378</v>
      </c>
    </row>
    <row r="229" spans="2:12" x14ac:dyDescent="0.25">
      <c r="B229" s="19" t="s">
        <v>351</v>
      </c>
      <c r="G229" s="135">
        <v>2020</v>
      </c>
      <c r="H229" s="137">
        <v>2019</v>
      </c>
      <c r="I229" s="137" t="s">
        <v>350</v>
      </c>
      <c r="J229" s="147" t="s">
        <v>300</v>
      </c>
    </row>
    <row r="230" spans="2:12" x14ac:dyDescent="0.25">
      <c r="B230" s="1" t="s">
        <v>94</v>
      </c>
      <c r="G230" s="3">
        <v>250417682.24000001</v>
      </c>
      <c r="H230" s="21">
        <v>458140764.76999998</v>
      </c>
      <c r="I230" s="18">
        <f>G230-H230</f>
        <v>-207723082.52999997</v>
      </c>
      <c r="J230" s="189">
        <f>I230/G230</f>
        <v>-0.82950644967202602</v>
      </c>
    </row>
    <row r="231" spans="2:12" x14ac:dyDescent="0.25">
      <c r="B231" s="1" t="s">
        <v>95</v>
      </c>
      <c r="G231" s="3">
        <v>105594941.67</v>
      </c>
      <c r="H231" s="21">
        <v>203098556.84999999</v>
      </c>
      <c r="I231" s="18">
        <f t="shared" ref="I231:I235" si="25">G231-H231</f>
        <v>-97503615.179999992</v>
      </c>
      <c r="J231" s="189">
        <f t="shared" ref="J231:J235" si="26">I231/G231</f>
        <v>-0.92337391960226067</v>
      </c>
    </row>
    <row r="232" spans="2:12" x14ac:dyDescent="0.25">
      <c r="B232" s="1" t="s">
        <v>96</v>
      </c>
      <c r="G232" s="3">
        <v>29509801.600000001</v>
      </c>
      <c r="H232" s="21">
        <v>87859409.840000004</v>
      </c>
      <c r="I232" s="18">
        <f t="shared" si="25"/>
        <v>-58349608.240000002</v>
      </c>
      <c r="J232" s="189">
        <f t="shared" si="26"/>
        <v>-1.9772958500676603</v>
      </c>
    </row>
    <row r="233" spans="2:12" x14ac:dyDescent="0.25">
      <c r="B233" s="1" t="s">
        <v>97</v>
      </c>
      <c r="G233" s="3">
        <v>4137989.22</v>
      </c>
      <c r="H233" s="21">
        <v>12947885.59</v>
      </c>
      <c r="I233" s="18">
        <f t="shared" si="25"/>
        <v>-8809896.3699999992</v>
      </c>
      <c r="J233" s="189">
        <f t="shared" si="26"/>
        <v>-2.1290283520844935</v>
      </c>
    </row>
    <row r="234" spans="2:12" x14ac:dyDescent="0.25">
      <c r="B234" s="1" t="s">
        <v>98</v>
      </c>
      <c r="G234" s="3">
        <v>0</v>
      </c>
      <c r="H234" s="21">
        <v>153320</v>
      </c>
      <c r="I234" s="18">
        <f t="shared" si="25"/>
        <v>-153320</v>
      </c>
      <c r="J234" s="189" t="e">
        <f t="shared" si="26"/>
        <v>#DIV/0!</v>
      </c>
    </row>
    <row r="235" spans="2:12" x14ac:dyDescent="0.25">
      <c r="B235" s="1" t="s">
        <v>99</v>
      </c>
      <c r="G235" s="3">
        <v>5360368.8099999996</v>
      </c>
      <c r="H235" s="21">
        <v>0</v>
      </c>
      <c r="I235" s="18">
        <f t="shared" si="25"/>
        <v>5360368.8099999996</v>
      </c>
      <c r="J235" s="189">
        <f t="shared" si="26"/>
        <v>1</v>
      </c>
    </row>
    <row r="236" spans="2:12" x14ac:dyDescent="0.25">
      <c r="B236" s="6" t="s">
        <v>100</v>
      </c>
      <c r="G236" s="149">
        <f>SUM(G230:G235)</f>
        <v>395020783.54000008</v>
      </c>
      <c r="H236" s="141">
        <f>SUM(H230:H235)</f>
        <v>762199937.05000007</v>
      </c>
      <c r="I236" s="150">
        <f>G236-H236</f>
        <v>-367179153.50999999</v>
      </c>
      <c r="J236" s="148">
        <f>I236/G236</f>
        <v>-0.92951856917376396</v>
      </c>
    </row>
    <row r="240" spans="2:12" x14ac:dyDescent="0.25">
      <c r="L240" s="79" t="s">
        <v>251</v>
      </c>
    </row>
    <row r="241" spans="2:12" x14ac:dyDescent="0.25">
      <c r="B241" s="19" t="s">
        <v>379</v>
      </c>
      <c r="G241" s="158" t="s">
        <v>251</v>
      </c>
      <c r="H241" s="158" t="s">
        <v>251</v>
      </c>
      <c r="I241" s="158" t="s">
        <v>251</v>
      </c>
      <c r="J241" s="158" t="s">
        <v>251</v>
      </c>
    </row>
    <row r="243" spans="2:12" x14ac:dyDescent="0.25">
      <c r="B243" t="s">
        <v>380</v>
      </c>
    </row>
    <row r="244" spans="2:12" x14ac:dyDescent="0.25">
      <c r="B244" t="s">
        <v>382</v>
      </c>
    </row>
    <row r="246" spans="2:12" x14ac:dyDescent="0.25">
      <c r="B246" s="19" t="s">
        <v>351</v>
      </c>
      <c r="G246" s="135">
        <v>2020</v>
      </c>
      <c r="H246" s="137">
        <v>2019</v>
      </c>
      <c r="I246" s="137" t="s">
        <v>350</v>
      </c>
      <c r="J246" s="147" t="s">
        <v>300</v>
      </c>
    </row>
    <row r="247" spans="2:12" x14ac:dyDescent="0.25">
      <c r="B247" t="s">
        <v>383</v>
      </c>
      <c r="G247" s="3">
        <v>220146580.97999999</v>
      </c>
      <c r="H247" s="21">
        <v>230845596.77000001</v>
      </c>
      <c r="I247" s="21">
        <f>G247-H247</f>
        <v>-10699015.790000021</v>
      </c>
      <c r="J247" s="79">
        <f>I247/G247</f>
        <v>-4.8599509210511031E-2</v>
      </c>
    </row>
    <row r="248" spans="2:12" x14ac:dyDescent="0.25">
      <c r="B248" s="19" t="s">
        <v>384</v>
      </c>
      <c r="G248" s="140">
        <f>G247</f>
        <v>220146580.97999999</v>
      </c>
      <c r="H248" s="141">
        <f>H247</f>
        <v>230845596.77000001</v>
      </c>
      <c r="I248" s="141">
        <f>G248-H248</f>
        <v>-10699015.790000021</v>
      </c>
      <c r="J248" s="190">
        <f>I248/G248</f>
        <v>-4.8599509210511031E-2</v>
      </c>
    </row>
    <row r="252" spans="2:12" x14ac:dyDescent="0.25">
      <c r="B252" s="19" t="s">
        <v>385</v>
      </c>
    </row>
    <row r="253" spans="2:12" x14ac:dyDescent="0.25">
      <c r="L253" s="79">
        <f>81887409.49/315179693.67</f>
        <v>0.25981181889128269</v>
      </c>
    </row>
    <row r="254" spans="2:12" x14ac:dyDescent="0.25">
      <c r="B254" t="s">
        <v>386</v>
      </c>
    </row>
    <row r="255" spans="2:12" x14ac:dyDescent="0.25">
      <c r="B255" t="s">
        <v>387</v>
      </c>
    </row>
    <row r="256" spans="2:12" x14ac:dyDescent="0.25">
      <c r="B256" t="s">
        <v>388</v>
      </c>
    </row>
    <row r="258" spans="2:10" x14ac:dyDescent="0.25">
      <c r="B258" s="19" t="s">
        <v>351</v>
      </c>
      <c r="G258" s="135">
        <v>2020</v>
      </c>
      <c r="H258" s="137">
        <v>2019</v>
      </c>
      <c r="I258" s="137" t="s">
        <v>350</v>
      </c>
      <c r="J258" s="147" t="s">
        <v>300</v>
      </c>
    </row>
    <row r="259" spans="2:10" x14ac:dyDescent="0.25">
      <c r="B259" t="s">
        <v>389</v>
      </c>
      <c r="G259" s="21">
        <v>195943795.47999999</v>
      </c>
      <c r="H259" s="21">
        <v>178479324.02000001</v>
      </c>
      <c r="I259" s="21">
        <f>G259-H259</f>
        <v>17464471.459999979</v>
      </c>
      <c r="J259" s="79">
        <f>I259/G259</f>
        <v>8.9130004944619839E-2</v>
      </c>
    </row>
    <row r="260" spans="2:10" x14ac:dyDescent="0.25">
      <c r="B260" t="s">
        <v>390</v>
      </c>
      <c r="G260" s="21">
        <v>15541186.67</v>
      </c>
      <c r="H260" s="21">
        <v>15603195.199999999</v>
      </c>
      <c r="I260" s="21">
        <f t="shared" ref="I260:I265" si="27">G260-H260</f>
        <v>-62008.529999999329</v>
      </c>
      <c r="J260" s="79">
        <f t="shared" ref="J260:J265" si="28">I260/G260</f>
        <v>-3.9899482141667972E-3</v>
      </c>
    </row>
    <row r="261" spans="2:10" x14ac:dyDescent="0.25">
      <c r="B261" t="s">
        <v>107</v>
      </c>
      <c r="G261" s="21">
        <v>1635834.889</v>
      </c>
      <c r="H261" s="21">
        <v>1103353.54</v>
      </c>
      <c r="I261" s="21">
        <f t="shared" si="27"/>
        <v>532481.34899999993</v>
      </c>
      <c r="J261" s="79">
        <f t="shared" si="28"/>
        <v>0.32551044887269176</v>
      </c>
    </row>
    <row r="262" spans="2:10" x14ac:dyDescent="0.25">
      <c r="B262" t="s">
        <v>108</v>
      </c>
      <c r="G262" s="21">
        <v>73671658.329999998</v>
      </c>
      <c r="H262" s="21">
        <v>174974420.66</v>
      </c>
      <c r="I262" s="21">
        <f t="shared" si="27"/>
        <v>-101302762.33</v>
      </c>
      <c r="J262" s="79">
        <f t="shared" si="28"/>
        <v>-1.3750574457850677</v>
      </c>
    </row>
    <row r="263" spans="2:10" x14ac:dyDescent="0.25">
      <c r="B263" t="s">
        <v>109</v>
      </c>
      <c r="G263" s="21">
        <v>0</v>
      </c>
      <c r="H263" s="21">
        <v>25000</v>
      </c>
      <c r="I263" s="21">
        <f t="shared" si="27"/>
        <v>-25000</v>
      </c>
      <c r="J263" s="79" t="e">
        <f t="shared" si="28"/>
        <v>#DIV/0!</v>
      </c>
    </row>
    <row r="264" spans="2:10" x14ac:dyDescent="0.25">
      <c r="B264" t="s">
        <v>110</v>
      </c>
      <c r="G264" s="21">
        <v>28387218.300000001</v>
      </c>
      <c r="H264" s="21">
        <v>26881809.739999998</v>
      </c>
      <c r="I264" s="21">
        <f t="shared" si="27"/>
        <v>1505408.5600000024</v>
      </c>
      <c r="J264" s="79">
        <f t="shared" si="28"/>
        <v>5.3031210881271953E-2</v>
      </c>
    </row>
    <row r="265" spans="2:10" x14ac:dyDescent="0.25">
      <c r="B265" s="19" t="s">
        <v>391</v>
      </c>
      <c r="G265" s="140">
        <f>SUM(G259:G264)</f>
        <v>315179693.66899997</v>
      </c>
      <c r="H265" s="140">
        <f>SUM(H259:H264)</f>
        <v>397067103.15999997</v>
      </c>
      <c r="I265" s="141">
        <f t="shared" si="27"/>
        <v>-81887409.490999997</v>
      </c>
      <c r="J265" s="148">
        <f t="shared" si="28"/>
        <v>-0.25981181889527982</v>
      </c>
    </row>
    <row r="268" spans="2:10" x14ac:dyDescent="0.25">
      <c r="B268" s="19" t="s">
        <v>392</v>
      </c>
      <c r="G268" s="158"/>
      <c r="H268" s="158"/>
      <c r="I268" s="158"/>
      <c r="J268" s="158"/>
    </row>
    <row r="270" spans="2:10" x14ac:dyDescent="0.25">
      <c r="B270" t="s">
        <v>393</v>
      </c>
    </row>
    <row r="271" spans="2:10" x14ac:dyDescent="0.25">
      <c r="B271" t="s">
        <v>394</v>
      </c>
    </row>
    <row r="272" spans="2:10" x14ac:dyDescent="0.25">
      <c r="B272" t="s">
        <v>395</v>
      </c>
    </row>
    <row r="274" spans="2:10" x14ac:dyDescent="0.25">
      <c r="B274" s="19" t="s">
        <v>351</v>
      </c>
      <c r="G274" s="135">
        <v>2020</v>
      </c>
      <c r="H274" s="137">
        <v>2019</v>
      </c>
      <c r="I274" s="137" t="s">
        <v>350</v>
      </c>
      <c r="J274" s="147" t="s">
        <v>300</v>
      </c>
    </row>
    <row r="275" spans="2:10" x14ac:dyDescent="0.25">
      <c r="B275" t="s">
        <v>396</v>
      </c>
      <c r="G275" s="21">
        <v>195088873.53</v>
      </c>
      <c r="H275" s="21">
        <v>176088673.38</v>
      </c>
      <c r="I275" s="21">
        <f>G275-H275</f>
        <v>19000200.150000006</v>
      </c>
      <c r="J275" s="21">
        <f>I275/G275</f>
        <v>9.7392536059101448E-2</v>
      </c>
    </row>
    <row r="276" spans="2:10" x14ac:dyDescent="0.25">
      <c r="B276" t="s">
        <v>114</v>
      </c>
      <c r="G276" s="21">
        <v>854921.95</v>
      </c>
      <c r="H276" s="21">
        <v>2390650.64</v>
      </c>
      <c r="I276" s="21">
        <f t="shared" ref="I276:I277" si="29">G276-H276</f>
        <v>-1535728.6900000002</v>
      </c>
      <c r="J276" s="21">
        <f t="shared" ref="J276:J277" si="30">I276/G276</f>
        <v>-1.7963378879206462</v>
      </c>
    </row>
    <row r="277" spans="2:10" x14ac:dyDescent="0.25">
      <c r="B277" s="19" t="s">
        <v>397</v>
      </c>
      <c r="G277" s="140">
        <f>SUM(G275:G276)</f>
        <v>195943795.47999999</v>
      </c>
      <c r="H277" s="141">
        <f>SUM(H275:H276)</f>
        <v>178479324.01999998</v>
      </c>
      <c r="I277" s="141">
        <f t="shared" si="29"/>
        <v>17464471.460000008</v>
      </c>
      <c r="J277" s="148">
        <f t="shared" si="30"/>
        <v>8.9130004944619992E-2</v>
      </c>
    </row>
    <row r="280" spans="2:10" x14ac:dyDescent="0.25">
      <c r="B280" s="19" t="s">
        <v>398</v>
      </c>
      <c r="G280" s="158"/>
      <c r="H280" s="158"/>
      <c r="I280" s="158"/>
      <c r="J280" s="158"/>
    </row>
    <row r="282" spans="2:10" x14ac:dyDescent="0.25">
      <c r="B282" t="s">
        <v>399</v>
      </c>
    </row>
    <row r="283" spans="2:10" x14ac:dyDescent="0.25">
      <c r="B283" t="s">
        <v>400</v>
      </c>
    </row>
    <row r="284" spans="2:10" x14ac:dyDescent="0.25">
      <c r="B284" t="s">
        <v>401</v>
      </c>
    </row>
    <row r="286" spans="2:10" x14ac:dyDescent="0.25">
      <c r="B286" s="19" t="s">
        <v>351</v>
      </c>
      <c r="G286" s="135">
        <v>2020</v>
      </c>
      <c r="H286" s="137">
        <v>2019</v>
      </c>
      <c r="I286" s="137" t="s">
        <v>350</v>
      </c>
      <c r="J286" s="147" t="s">
        <v>300</v>
      </c>
    </row>
    <row r="287" spans="2:10" x14ac:dyDescent="0.25">
      <c r="B287" s="82" t="s">
        <v>404</v>
      </c>
      <c r="G287" s="192">
        <v>483329.48</v>
      </c>
      <c r="H287" s="191">
        <v>0</v>
      </c>
      <c r="I287" s="191">
        <v>0</v>
      </c>
      <c r="J287" s="191">
        <f>I287/G287</f>
        <v>0</v>
      </c>
    </row>
    <row r="288" spans="2:10" x14ac:dyDescent="0.25">
      <c r="B288" t="s">
        <v>402</v>
      </c>
      <c r="G288" s="21">
        <v>322674</v>
      </c>
      <c r="H288" s="21">
        <v>603140.30000000005</v>
      </c>
      <c r="I288" s="21">
        <f>G288-H288</f>
        <v>-280466.30000000005</v>
      </c>
      <c r="J288" s="21">
        <f>I288/G288</f>
        <v>-0.86919398526066571</v>
      </c>
    </row>
    <row r="289" spans="2:12" x14ac:dyDescent="0.25">
      <c r="B289" t="s">
        <v>403</v>
      </c>
      <c r="G289" s="21">
        <v>829841.71</v>
      </c>
      <c r="H289" s="21">
        <v>500213.24</v>
      </c>
      <c r="I289" s="21">
        <f t="shared" ref="I289:I290" si="31">G289-H289</f>
        <v>329628.46999999997</v>
      </c>
      <c r="J289" s="21">
        <f t="shared" ref="J289:J290" si="32">I289/G289</f>
        <v>0.39721848881276406</v>
      </c>
    </row>
    <row r="290" spans="2:12" x14ac:dyDescent="0.25">
      <c r="B290" s="19" t="s">
        <v>405</v>
      </c>
      <c r="G290" s="140">
        <f>SUM(G287:G289)</f>
        <v>1635845.19</v>
      </c>
      <c r="H290" s="141">
        <f>SUM(H287:H289)</f>
        <v>1103353.54</v>
      </c>
      <c r="I290" s="141">
        <f t="shared" si="31"/>
        <v>532491.64999999991</v>
      </c>
      <c r="J290" s="148">
        <f t="shared" si="32"/>
        <v>0.32551469616755113</v>
      </c>
    </row>
    <row r="293" spans="2:12" x14ac:dyDescent="0.25">
      <c r="B293" s="19" t="s">
        <v>406</v>
      </c>
    </row>
    <row r="295" spans="2:12" x14ac:dyDescent="0.25">
      <c r="B295" t="s">
        <v>407</v>
      </c>
    </row>
    <row r="296" spans="2:12" x14ac:dyDescent="0.25">
      <c r="B296" t="s">
        <v>408</v>
      </c>
    </row>
    <row r="298" spans="2:12" x14ac:dyDescent="0.25">
      <c r="B298" s="19" t="s">
        <v>351</v>
      </c>
      <c r="G298" s="135">
        <v>2020</v>
      </c>
      <c r="H298" s="137">
        <v>2019</v>
      </c>
      <c r="I298" s="137" t="s">
        <v>350</v>
      </c>
      <c r="J298" s="147" t="s">
        <v>300</v>
      </c>
    </row>
    <row r="299" spans="2:12" x14ac:dyDescent="0.25">
      <c r="B299" s="1" t="s">
        <v>122</v>
      </c>
      <c r="G299" s="21">
        <v>3894894</v>
      </c>
      <c r="H299" s="21">
        <v>0</v>
      </c>
      <c r="I299" s="21">
        <f>G299-H299</f>
        <v>3894894</v>
      </c>
      <c r="J299" s="21">
        <f>I299/G299</f>
        <v>1</v>
      </c>
    </row>
    <row r="300" spans="2:12" x14ac:dyDescent="0.25">
      <c r="B300" s="1" t="s">
        <v>123</v>
      </c>
      <c r="G300" s="21">
        <v>69776764.329999998</v>
      </c>
      <c r="H300" s="21">
        <v>4170450.51</v>
      </c>
      <c r="I300" s="21">
        <f t="shared" ref="I300:I301" si="33">G300-H300</f>
        <v>65606313.82</v>
      </c>
      <c r="J300" s="21">
        <f t="shared" ref="J300:J302" si="34">I300/G300</f>
        <v>0.94023152907640717</v>
      </c>
      <c r="L300" s="79">
        <f>1505408.56/28387218.3</f>
        <v>5.303121088127187E-2</v>
      </c>
    </row>
    <row r="301" spans="2:12" x14ac:dyDescent="0.25">
      <c r="B301" s="1" t="s">
        <v>272</v>
      </c>
      <c r="G301" s="21">
        <v>0</v>
      </c>
      <c r="H301" s="21">
        <v>170803970.15000001</v>
      </c>
      <c r="I301" s="21">
        <f t="shared" si="33"/>
        <v>-170803970.15000001</v>
      </c>
      <c r="J301" s="21" t="e">
        <f t="shared" si="34"/>
        <v>#DIV/0!</v>
      </c>
    </row>
    <row r="302" spans="2:12" x14ac:dyDescent="0.25">
      <c r="B302" s="6" t="s">
        <v>409</v>
      </c>
      <c r="G302" s="193">
        <f>SUM(G299:G301)</f>
        <v>73671658.329999998</v>
      </c>
      <c r="H302" s="193">
        <f>SUM(H299:H301)</f>
        <v>174974420.66</v>
      </c>
      <c r="I302" s="194">
        <f>G302-H302</f>
        <v>-101302762.33</v>
      </c>
      <c r="J302" s="148">
        <f t="shared" si="34"/>
        <v>-1.3750574457850677</v>
      </c>
    </row>
    <row r="305" spans="2:13" x14ac:dyDescent="0.25">
      <c r="B305" s="19" t="s">
        <v>410</v>
      </c>
    </row>
    <row r="307" spans="2:13" x14ac:dyDescent="0.25">
      <c r="B307" t="s">
        <v>411</v>
      </c>
    </row>
    <row r="308" spans="2:13" x14ac:dyDescent="0.25">
      <c r="B308" t="s">
        <v>412</v>
      </c>
    </row>
    <row r="309" spans="2:13" x14ac:dyDescent="0.25">
      <c r="B309" t="s">
        <v>413</v>
      </c>
    </row>
    <row r="311" spans="2:13" x14ac:dyDescent="0.25">
      <c r="B311" s="19" t="s">
        <v>351</v>
      </c>
      <c r="G311" s="135">
        <v>2020</v>
      </c>
      <c r="H311" s="137">
        <v>2019</v>
      </c>
      <c r="I311" s="137" t="s">
        <v>350</v>
      </c>
      <c r="J311" s="147" t="s">
        <v>300</v>
      </c>
    </row>
    <row r="312" spans="2:13" x14ac:dyDescent="0.25">
      <c r="B312" s="1" t="s">
        <v>126</v>
      </c>
      <c r="G312" s="3">
        <v>13097467.289999999</v>
      </c>
      <c r="H312" s="21">
        <v>12415869.74</v>
      </c>
      <c r="I312" s="18">
        <f>G312-H312</f>
        <v>681597.54999999888</v>
      </c>
      <c r="J312" s="79">
        <f>I312/G312</f>
        <v>5.2040408646059612E-2</v>
      </c>
    </row>
    <row r="313" spans="2:13" x14ac:dyDescent="0.25">
      <c r="B313" s="1" t="s">
        <v>127</v>
      </c>
      <c r="G313" s="3">
        <v>13115078.039999999</v>
      </c>
      <c r="H313" s="21">
        <v>12433882.98</v>
      </c>
      <c r="I313" s="18">
        <f t="shared" ref="I313:I314" si="35">G313-H313</f>
        <v>681195.05999999866</v>
      </c>
      <c r="J313" s="79">
        <f t="shared" ref="J313:J314" si="36">I313/G313</f>
        <v>5.1939840382375542E-2</v>
      </c>
    </row>
    <row r="314" spans="2:13" x14ac:dyDescent="0.25">
      <c r="B314" s="1" t="s">
        <v>128</v>
      </c>
      <c r="G314" s="3">
        <v>2174672.9700000002</v>
      </c>
      <c r="H314" s="21">
        <v>2032057.02</v>
      </c>
      <c r="I314" s="18">
        <f t="shared" si="35"/>
        <v>142615.95000000019</v>
      </c>
      <c r="J314" s="79">
        <f t="shared" si="36"/>
        <v>6.5580412304476365E-2</v>
      </c>
    </row>
    <row r="315" spans="2:13" x14ac:dyDescent="0.25">
      <c r="B315" s="6" t="s">
        <v>414</v>
      </c>
      <c r="G315" s="149">
        <f>SUM(G312:G314)</f>
        <v>28387218.299999997</v>
      </c>
      <c r="H315" s="149">
        <f>SUM(H312:H314)</f>
        <v>26881809.739999998</v>
      </c>
      <c r="I315" s="150">
        <f>G315-H315</f>
        <v>1505408.5599999987</v>
      </c>
      <c r="J315" s="148">
        <f>I315/G315</f>
        <v>5.3031210881271829E-2</v>
      </c>
    </row>
    <row r="319" spans="2:13" x14ac:dyDescent="0.25">
      <c r="B319" s="19" t="s">
        <v>415</v>
      </c>
    </row>
    <row r="320" spans="2:13" x14ac:dyDescent="0.25">
      <c r="M320" s="79">
        <f>233006002.48/218838299.97</f>
        <v>1.0647405070864753</v>
      </c>
    </row>
    <row r="321" spans="2:10" x14ac:dyDescent="0.25">
      <c r="B321" t="s">
        <v>416</v>
      </c>
    </row>
    <row r="322" spans="2:10" x14ac:dyDescent="0.25">
      <c r="B322" t="s">
        <v>419</v>
      </c>
    </row>
    <row r="323" spans="2:10" x14ac:dyDescent="0.25">
      <c r="B323" t="s">
        <v>417</v>
      </c>
    </row>
    <row r="325" spans="2:10" x14ac:dyDescent="0.25">
      <c r="B325" s="19" t="s">
        <v>351</v>
      </c>
      <c r="G325" s="135">
        <v>2020</v>
      </c>
      <c r="H325" s="137">
        <v>2019</v>
      </c>
      <c r="I325" s="137" t="s">
        <v>350</v>
      </c>
      <c r="J325" s="147" t="s">
        <v>300</v>
      </c>
    </row>
    <row r="326" spans="2:10" x14ac:dyDescent="0.25">
      <c r="B326" s="1" t="s">
        <v>130</v>
      </c>
      <c r="G326" s="21">
        <v>188500</v>
      </c>
      <c r="H326" s="21">
        <v>57900</v>
      </c>
      <c r="I326" s="21">
        <f>G326-H326</f>
        <v>130600</v>
      </c>
      <c r="J326" s="79">
        <f>I326/G326</f>
        <v>0.69283819628647214</v>
      </c>
    </row>
    <row r="327" spans="2:10" x14ac:dyDescent="0.25">
      <c r="B327" s="1" t="s">
        <v>131</v>
      </c>
      <c r="G327" s="21">
        <v>212255.4</v>
      </c>
      <c r="H327" s="21">
        <v>869022.15</v>
      </c>
      <c r="I327" s="21">
        <f>G327-H327</f>
        <v>-656766.75</v>
      </c>
      <c r="J327" s="79">
        <f>I327/G327</f>
        <v>-3.0942286980684592</v>
      </c>
    </row>
    <row r="328" spans="2:10" x14ac:dyDescent="0.25">
      <c r="B328" s="19" t="s">
        <v>418</v>
      </c>
      <c r="G328" s="140">
        <f>SUM(G326:G327)</f>
        <v>400755.4</v>
      </c>
      <c r="H328" s="140">
        <f>SUM(H326:H327)</f>
        <v>926922.15</v>
      </c>
      <c r="I328" s="141">
        <f>G328-H328</f>
        <v>-526166.75</v>
      </c>
      <c r="J328" s="148">
        <f>I328/G328</f>
        <v>-1.3129373927338222</v>
      </c>
    </row>
    <row r="329" spans="2:10" x14ac:dyDescent="0.25">
      <c r="B329" t="s">
        <v>251</v>
      </c>
      <c r="G329" s="21"/>
      <c r="H329" s="21"/>
      <c r="I329" s="21"/>
      <c r="J329" s="21"/>
    </row>
    <row r="332" spans="2:10" x14ac:dyDescent="0.25">
      <c r="B332" s="19" t="s">
        <v>420</v>
      </c>
    </row>
    <row r="334" spans="2:10" x14ac:dyDescent="0.25">
      <c r="B334" t="s">
        <v>421</v>
      </c>
    </row>
    <row r="335" spans="2:10" x14ac:dyDescent="0.25">
      <c r="B335" t="s">
        <v>422</v>
      </c>
    </row>
    <row r="336" spans="2:10" x14ac:dyDescent="0.25">
      <c r="B336" t="s">
        <v>423</v>
      </c>
    </row>
    <row r="338" spans="2:10" x14ac:dyDescent="0.25">
      <c r="B338" s="19" t="s">
        <v>351</v>
      </c>
      <c r="G338" s="135">
        <v>2020</v>
      </c>
      <c r="H338" s="137">
        <v>2019</v>
      </c>
      <c r="I338" s="137" t="s">
        <v>350</v>
      </c>
      <c r="J338" s="147" t="s">
        <v>300</v>
      </c>
    </row>
    <row r="339" spans="2:10" x14ac:dyDescent="0.25">
      <c r="B339" s="1" t="s">
        <v>134</v>
      </c>
      <c r="G339" s="21">
        <v>5904996.0300000003</v>
      </c>
      <c r="H339" s="21">
        <v>7993657.1600000001</v>
      </c>
      <c r="I339" s="21">
        <f>G339-H339</f>
        <v>-2088661.13</v>
      </c>
      <c r="J339" s="79">
        <f>I339/G339</f>
        <v>-0.35371084406977998</v>
      </c>
    </row>
    <row r="340" spans="2:10" x14ac:dyDescent="0.25">
      <c r="B340" s="1" t="s">
        <v>135</v>
      </c>
      <c r="G340" s="21">
        <v>1158372.08</v>
      </c>
      <c r="H340" s="21">
        <v>1198006.69</v>
      </c>
      <c r="I340" s="21">
        <f t="shared" ref="I340:I348" si="37">G340-H340</f>
        <v>-39634.60999999987</v>
      </c>
      <c r="J340" s="79">
        <f t="shared" ref="J340:J348" si="38">I340/G340</f>
        <v>-3.4215784966087813E-2</v>
      </c>
    </row>
    <row r="341" spans="2:10" x14ac:dyDescent="0.25">
      <c r="B341" s="1" t="s">
        <v>136</v>
      </c>
      <c r="G341" s="21">
        <v>4653735.84</v>
      </c>
      <c r="H341" s="21">
        <v>9211152.3399999999</v>
      </c>
      <c r="I341" s="21">
        <f t="shared" si="37"/>
        <v>-4557416.5</v>
      </c>
      <c r="J341" s="79">
        <f t="shared" si="38"/>
        <v>-0.97930279171152956</v>
      </c>
    </row>
    <row r="342" spans="2:10" x14ac:dyDescent="0.25">
      <c r="B342" s="1" t="s">
        <v>137</v>
      </c>
      <c r="G342" s="21">
        <v>39404989.420000002</v>
      </c>
      <c r="H342" s="21">
        <v>71607277.760000005</v>
      </c>
      <c r="I342" s="21">
        <f t="shared" si="37"/>
        <v>-32202288.340000004</v>
      </c>
      <c r="J342" s="79">
        <f t="shared" si="38"/>
        <v>-0.81721347509500242</v>
      </c>
    </row>
    <row r="343" spans="2:10" x14ac:dyDescent="0.25">
      <c r="B343" s="1" t="s">
        <v>138</v>
      </c>
      <c r="G343" s="21">
        <v>7506470.5</v>
      </c>
      <c r="H343" s="21">
        <v>3673831.29</v>
      </c>
      <c r="I343" s="21">
        <f t="shared" si="37"/>
        <v>3832639.21</v>
      </c>
      <c r="J343" s="79">
        <f t="shared" si="38"/>
        <v>0.5105780686142708</v>
      </c>
    </row>
    <row r="344" spans="2:10" x14ac:dyDescent="0.25">
      <c r="B344" s="1" t="s">
        <v>139</v>
      </c>
      <c r="G344" s="21">
        <v>649279.31999999995</v>
      </c>
      <c r="H344" s="21">
        <v>347274</v>
      </c>
      <c r="I344" s="21">
        <f t="shared" si="37"/>
        <v>302005.31999999995</v>
      </c>
      <c r="J344" s="79">
        <f t="shared" si="38"/>
        <v>0.46513928704829222</v>
      </c>
    </row>
    <row r="345" spans="2:10" x14ac:dyDescent="0.25">
      <c r="B345" s="1" t="s">
        <v>140</v>
      </c>
      <c r="G345" s="21">
        <v>3921660.35</v>
      </c>
      <c r="H345" s="21">
        <v>1532384.27</v>
      </c>
      <c r="I345" s="21">
        <f t="shared" si="37"/>
        <v>2389276.08</v>
      </c>
      <c r="J345" s="79">
        <f t="shared" si="38"/>
        <v>0.60925115047252887</v>
      </c>
    </row>
    <row r="346" spans="2:10" x14ac:dyDescent="0.25">
      <c r="B346" s="1" t="s">
        <v>141</v>
      </c>
      <c r="G346" s="21">
        <v>11629335.59</v>
      </c>
      <c r="H346" s="21">
        <v>16168211.26</v>
      </c>
      <c r="I346" s="21">
        <f t="shared" si="37"/>
        <v>-4538875.67</v>
      </c>
      <c r="J346" s="79">
        <f t="shared" si="38"/>
        <v>-0.39029535564378703</v>
      </c>
    </row>
    <row r="347" spans="2:10" x14ac:dyDescent="0.25">
      <c r="B347" s="1" t="s">
        <v>142</v>
      </c>
      <c r="G347" s="21">
        <v>125469722.29000001</v>
      </c>
      <c r="H347" s="21">
        <v>301898632.95999998</v>
      </c>
      <c r="I347" s="21">
        <f t="shared" si="37"/>
        <v>-176428910.66999996</v>
      </c>
      <c r="J347" s="79">
        <f t="shared" si="38"/>
        <v>-1.4061472955380998</v>
      </c>
    </row>
    <row r="348" spans="2:10" x14ac:dyDescent="0.25">
      <c r="B348" s="1" t="s">
        <v>143</v>
      </c>
      <c r="G348" s="21">
        <v>18539738.550000001</v>
      </c>
      <c r="H348" s="21">
        <v>38213874.719999999</v>
      </c>
      <c r="I348" s="21">
        <f t="shared" si="37"/>
        <v>-19674136.169999998</v>
      </c>
      <c r="J348" s="79">
        <f t="shared" si="38"/>
        <v>-1.0611873580061892</v>
      </c>
    </row>
    <row r="349" spans="2:10" x14ac:dyDescent="0.25">
      <c r="B349" s="6" t="s">
        <v>144</v>
      </c>
      <c r="G349" s="140">
        <f>SUM(G339:G348)</f>
        <v>218838299.97000003</v>
      </c>
      <c r="H349" s="140">
        <f>SUM(H339:H348)</f>
        <v>451844302.45000005</v>
      </c>
      <c r="I349" s="141">
        <f>G349-H349</f>
        <v>-233006002.48000002</v>
      </c>
      <c r="J349" s="148">
        <f>I349/G349</f>
        <v>-1.0647405070864753</v>
      </c>
    </row>
    <row r="350" spans="2:10" x14ac:dyDescent="0.25">
      <c r="G350" t="s">
        <v>251</v>
      </c>
    </row>
    <row r="353" spans="2:12" x14ac:dyDescent="0.25">
      <c r="B353" s="19" t="s">
        <v>424</v>
      </c>
    </row>
    <row r="354" spans="2:12" x14ac:dyDescent="0.25">
      <c r="B354" s="19"/>
    </row>
    <row r="355" spans="2:12" x14ac:dyDescent="0.25">
      <c r="B355" s="19" t="s">
        <v>425</v>
      </c>
    </row>
    <row r="356" spans="2:12" x14ac:dyDescent="0.25">
      <c r="B356" s="19" t="s">
        <v>426</v>
      </c>
    </row>
    <row r="357" spans="2:12" x14ac:dyDescent="0.25">
      <c r="B357" s="19" t="s">
        <v>427</v>
      </c>
    </row>
    <row r="358" spans="2:12" x14ac:dyDescent="0.25">
      <c r="B358" s="19"/>
    </row>
    <row r="359" spans="2:12" x14ac:dyDescent="0.25">
      <c r="B359" s="19" t="s">
        <v>12</v>
      </c>
      <c r="G359" s="135">
        <v>2020</v>
      </c>
      <c r="H359" s="137">
        <v>2019</v>
      </c>
      <c r="I359" s="137" t="s">
        <v>350</v>
      </c>
      <c r="J359" s="147" t="s">
        <v>300</v>
      </c>
    </row>
    <row r="360" spans="2:12" x14ac:dyDescent="0.25">
      <c r="B360" s="195" t="s">
        <v>146</v>
      </c>
      <c r="G360" s="3">
        <v>195719.84856059583</v>
      </c>
      <c r="H360" s="21">
        <v>311871.53000000003</v>
      </c>
      <c r="I360" s="18">
        <f>G360-H360</f>
        <v>-116151.6814394042</v>
      </c>
      <c r="J360" s="79">
        <f>I360/G360</f>
        <v>-0.59345887651983886</v>
      </c>
    </row>
    <row r="361" spans="2:12" x14ac:dyDescent="0.25">
      <c r="B361" s="195" t="s">
        <v>147</v>
      </c>
      <c r="G361" s="3">
        <v>988268.56579899916</v>
      </c>
      <c r="H361" s="21">
        <v>1740085.82</v>
      </c>
      <c r="I361" s="18">
        <f t="shared" ref="I361:I364" si="39">G361-H361</f>
        <v>-751817.25420100091</v>
      </c>
      <c r="J361" s="79">
        <f t="shared" ref="J361:J364" si="40">I361/G361</f>
        <v>-0.76074184712448967</v>
      </c>
    </row>
    <row r="362" spans="2:12" x14ac:dyDescent="0.25">
      <c r="B362" s="195" t="s">
        <v>148</v>
      </c>
      <c r="G362" s="3">
        <v>38809.219480460481</v>
      </c>
      <c r="H362" s="21">
        <v>70918.44</v>
      </c>
      <c r="I362" s="18">
        <f t="shared" si="39"/>
        <v>-32109.220519539522</v>
      </c>
      <c r="J362" s="79">
        <f t="shared" si="40"/>
        <v>-0.82736063619382372</v>
      </c>
    </row>
    <row r="363" spans="2:12" x14ac:dyDescent="0.25">
      <c r="B363" s="195" t="s">
        <v>149</v>
      </c>
      <c r="G363" s="3">
        <v>1786941.2913101129</v>
      </c>
      <c r="H363" s="21">
        <v>3460539.58</v>
      </c>
      <c r="I363" s="18">
        <f t="shared" si="39"/>
        <v>-1673598.2886898872</v>
      </c>
      <c r="J363" s="79">
        <f t="shared" si="40"/>
        <v>-0.93657150172117443</v>
      </c>
      <c r="L363" s="79" t="s">
        <v>251</v>
      </c>
    </row>
    <row r="364" spans="2:12" x14ac:dyDescent="0.25">
      <c r="B364" s="195" t="s">
        <v>150</v>
      </c>
      <c r="G364" s="3">
        <v>11827818.732571531</v>
      </c>
      <c r="H364" s="21">
        <v>18418038.629999999</v>
      </c>
      <c r="I364" s="18">
        <f t="shared" si="39"/>
        <v>-6590219.8974284679</v>
      </c>
      <c r="J364" s="79">
        <f t="shared" si="40"/>
        <v>-0.55717964964074684</v>
      </c>
    </row>
    <row r="365" spans="2:12" x14ac:dyDescent="0.25">
      <c r="B365" s="6" t="s">
        <v>151</v>
      </c>
      <c r="G365" s="149">
        <f>SUM(G360:G364)</f>
        <v>14837557.657721698</v>
      </c>
      <c r="H365" s="149">
        <f>SUM(H360:H364)</f>
        <v>24001454</v>
      </c>
      <c r="I365" s="150">
        <f>G365-H365</f>
        <v>-9163896.3422783017</v>
      </c>
      <c r="J365" s="148">
        <f>I365/G365</f>
        <v>-0.61761487663094372</v>
      </c>
    </row>
    <row r="369" spans="2:10" x14ac:dyDescent="0.25">
      <c r="B369" s="19" t="s">
        <v>428</v>
      </c>
    </row>
    <row r="371" spans="2:10" x14ac:dyDescent="0.25">
      <c r="B371" t="s">
        <v>429</v>
      </c>
    </row>
    <row r="372" spans="2:10" x14ac:dyDescent="0.25">
      <c r="B372" t="s">
        <v>431</v>
      </c>
    </row>
    <row r="373" spans="2:10" x14ac:dyDescent="0.25">
      <c r="B373" t="s">
        <v>430</v>
      </c>
    </row>
    <row r="375" spans="2:10" x14ac:dyDescent="0.25">
      <c r="B375" s="19" t="s">
        <v>351</v>
      </c>
      <c r="G375" s="135">
        <v>2020</v>
      </c>
      <c r="H375" s="137">
        <v>2019</v>
      </c>
      <c r="I375" s="137" t="s">
        <v>350</v>
      </c>
      <c r="J375" s="147" t="s">
        <v>300</v>
      </c>
    </row>
    <row r="376" spans="2:10" x14ac:dyDescent="0.25">
      <c r="B376" s="1" t="s">
        <v>168</v>
      </c>
      <c r="G376" s="21">
        <v>5886943.5800000001</v>
      </c>
      <c r="H376" s="21">
        <v>8363514.7400000002</v>
      </c>
      <c r="I376" s="21">
        <f>G376-H376</f>
        <v>-2476571.16</v>
      </c>
      <c r="J376" s="79">
        <f>I376/G376</f>
        <v>-0.42068878805188076</v>
      </c>
    </row>
    <row r="377" spans="2:10" x14ac:dyDescent="0.25">
      <c r="B377" s="1" t="s">
        <v>169</v>
      </c>
      <c r="G377" s="21">
        <v>4032.93</v>
      </c>
      <c r="H377" s="21">
        <v>205432.6</v>
      </c>
      <c r="I377" s="21">
        <f t="shared" ref="I377:I383" si="41">G377-H377</f>
        <v>-201399.67</v>
      </c>
      <c r="J377" s="79">
        <f t="shared" ref="J377:J383" si="42">I377/G377</f>
        <v>-49.938796358974749</v>
      </c>
    </row>
    <row r="378" spans="2:10" x14ac:dyDescent="0.25">
      <c r="B378" s="1" t="s">
        <v>170</v>
      </c>
      <c r="G378" s="21">
        <v>253772.82</v>
      </c>
      <c r="H378" s="21">
        <v>1856480.84</v>
      </c>
      <c r="I378" s="21">
        <f t="shared" si="41"/>
        <v>-1602708.02</v>
      </c>
      <c r="J378" s="79">
        <f t="shared" si="42"/>
        <v>-6.3155227577169217</v>
      </c>
    </row>
    <row r="379" spans="2:10" x14ac:dyDescent="0.25">
      <c r="B379" s="1" t="s">
        <v>171</v>
      </c>
      <c r="G379" s="21">
        <v>333360</v>
      </c>
      <c r="H379" s="21">
        <v>705438.4</v>
      </c>
      <c r="I379" s="21">
        <f t="shared" si="41"/>
        <v>-372078.4</v>
      </c>
      <c r="J379" s="79">
        <f t="shared" si="42"/>
        <v>-1.116145908327334</v>
      </c>
    </row>
    <row r="380" spans="2:10" x14ac:dyDescent="0.25">
      <c r="B380" s="1" t="s">
        <v>172</v>
      </c>
      <c r="G380" s="21">
        <v>3384671.62</v>
      </c>
      <c r="H380" s="21">
        <v>3136316.14</v>
      </c>
      <c r="I380" s="21">
        <f t="shared" si="41"/>
        <v>248355.47999999998</v>
      </c>
      <c r="J380" s="79">
        <f t="shared" si="42"/>
        <v>7.337653630339476E-2</v>
      </c>
    </row>
    <row r="381" spans="2:10" x14ac:dyDescent="0.25">
      <c r="B381" s="1" t="s">
        <v>271</v>
      </c>
      <c r="G381" s="21">
        <v>1025230.59</v>
      </c>
      <c r="H381" s="21">
        <v>1013168.32</v>
      </c>
      <c r="I381" s="21">
        <f t="shared" si="41"/>
        <v>12062.270000000019</v>
      </c>
      <c r="J381" s="79">
        <f t="shared" si="42"/>
        <v>1.1765421474597261E-2</v>
      </c>
    </row>
    <row r="382" spans="2:10" x14ac:dyDescent="0.25">
      <c r="B382" s="1" t="s">
        <v>173</v>
      </c>
      <c r="G382" s="3">
        <v>10631171.890000001</v>
      </c>
      <c r="H382" s="21">
        <v>14490924.83</v>
      </c>
      <c r="I382" s="21">
        <f t="shared" si="41"/>
        <v>-3859752.9399999995</v>
      </c>
      <c r="J382" s="79">
        <f t="shared" si="42"/>
        <v>-0.36305996929939577</v>
      </c>
    </row>
    <row r="383" spans="2:10" x14ac:dyDescent="0.25">
      <c r="B383" s="1" t="s">
        <v>174</v>
      </c>
      <c r="G383" s="3">
        <v>11550158.039999999</v>
      </c>
      <c r="H383" s="21">
        <v>15778983.26</v>
      </c>
      <c r="I383" s="21">
        <f t="shared" si="41"/>
        <v>-4228825.2200000007</v>
      </c>
      <c r="J383" s="79">
        <f t="shared" si="42"/>
        <v>-0.36612704392051776</v>
      </c>
    </row>
    <row r="384" spans="2:10" x14ac:dyDescent="0.25">
      <c r="B384" s="6" t="s">
        <v>175</v>
      </c>
      <c r="G384" s="149">
        <f>SUM(G376:G383)</f>
        <v>33069341.469999999</v>
      </c>
      <c r="H384" s="149">
        <f>SUM(H376:H383)</f>
        <v>45550259.130000003</v>
      </c>
      <c r="I384" s="150">
        <f>G384-H384</f>
        <v>-12480917.660000004</v>
      </c>
      <c r="J384" s="148">
        <f>I384/G384</f>
        <v>-0.37741657696215397</v>
      </c>
    </row>
  </sheetData>
  <mergeCells count="7">
    <mergeCell ref="B9:F9"/>
    <mergeCell ref="B3:F3"/>
    <mergeCell ref="B4:F4"/>
    <mergeCell ref="B5:F5"/>
    <mergeCell ref="B6:F6"/>
    <mergeCell ref="B7:F7"/>
    <mergeCell ref="B8:F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9" workbookViewId="0">
      <selection activeCell="F28" sqref="F28"/>
    </sheetView>
  </sheetViews>
  <sheetFormatPr baseColWidth="10" defaultRowHeight="15" x14ac:dyDescent="0.25"/>
  <cols>
    <col min="1" max="1" width="6.5703125" customWidth="1"/>
    <col min="2" max="2" width="38.140625" bestFit="1" customWidth="1"/>
    <col min="3" max="3" width="3.85546875" customWidth="1"/>
    <col min="4" max="4" width="16.85546875" bestFit="1" customWidth="1"/>
    <col min="5" max="5" width="3.85546875" customWidth="1"/>
    <col min="6" max="6" width="15.140625" bestFit="1" customWidth="1"/>
    <col min="7" max="7" width="3.85546875" customWidth="1"/>
    <col min="9" max="9" width="3.85546875" customWidth="1"/>
    <col min="10" max="10" width="16.85546875" bestFit="1" customWidth="1"/>
  </cols>
  <sheetData>
    <row r="1" spans="1:10" x14ac:dyDescent="0.25">
      <c r="A1" s="204" t="s">
        <v>198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x14ac:dyDescent="0.25">
      <c r="A2" s="204" t="s">
        <v>199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x14ac:dyDescent="0.25">
      <c r="A3" s="204" t="s">
        <v>200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x14ac:dyDescent="0.25">
      <c r="A4" s="205" t="s">
        <v>152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204" t="s">
        <v>222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x14ac:dyDescent="0.25">
      <c r="A6" s="204" t="s">
        <v>286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x14ac:dyDescent="0.25">
      <c r="A7" s="204" t="s">
        <v>9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x14ac:dyDescent="0.25">
      <c r="A8" s="204" t="s">
        <v>223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1" spans="1:10" s="2" customFormat="1" ht="60" x14ac:dyDescent="0.25">
      <c r="A11" s="6" t="s">
        <v>224</v>
      </c>
      <c r="D11" s="4" t="s">
        <v>234</v>
      </c>
      <c r="E11" s="4"/>
      <c r="F11" s="4" t="s">
        <v>235</v>
      </c>
      <c r="G11" s="4"/>
      <c r="H11" s="4" t="s">
        <v>236</v>
      </c>
      <c r="I11" s="4"/>
      <c r="J11" s="4" t="s">
        <v>237</v>
      </c>
    </row>
    <row r="12" spans="1:10" s="19" customFormat="1" x14ac:dyDescent="0.25">
      <c r="A12" s="77">
        <v>1</v>
      </c>
      <c r="B12" s="19" t="s">
        <v>225</v>
      </c>
      <c r="D12" s="78">
        <f>SUM(D13:D14)</f>
        <v>1592967069.1500001</v>
      </c>
      <c r="E12" s="78"/>
      <c r="F12" s="78">
        <f>SUM(F13:F14)</f>
        <v>615467364.51999998</v>
      </c>
      <c r="G12" s="78"/>
      <c r="H12" s="80">
        <f>SUM(H13:H14)</f>
        <v>0.78012525648219855</v>
      </c>
      <c r="I12" s="78"/>
      <c r="J12" s="78">
        <f>SUM(J13:J14)</f>
        <v>977499704.63000011</v>
      </c>
    </row>
    <row r="13" spans="1:10" x14ac:dyDescent="0.25">
      <c r="A13" s="76">
        <v>1.4</v>
      </c>
      <c r="B13" t="s">
        <v>226</v>
      </c>
      <c r="D13" s="21">
        <v>821358593.88000011</v>
      </c>
      <c r="E13" s="21"/>
      <c r="F13" s="21">
        <f>'ESTADO DE REND.'!D14</f>
        <v>223146580.97999999</v>
      </c>
      <c r="G13" s="21"/>
      <c r="H13" s="79">
        <f>F13/D13</f>
        <v>0.27167985170263104</v>
      </c>
      <c r="I13" s="21"/>
      <c r="J13" s="21">
        <f>+D13-F13</f>
        <v>598212012.9000001</v>
      </c>
    </row>
    <row r="14" spans="1:10" x14ac:dyDescent="0.25">
      <c r="A14" s="76">
        <v>1.6</v>
      </c>
      <c r="B14" t="s">
        <v>227</v>
      </c>
      <c r="D14" s="21">
        <v>771608475.26999998</v>
      </c>
      <c r="E14" s="21"/>
      <c r="F14" s="21">
        <f>+'ESTADO DE REND.'!D13</f>
        <v>392320783.54000002</v>
      </c>
      <c r="G14" s="21"/>
      <c r="H14" s="79">
        <f>F14/D14</f>
        <v>0.50844540477956746</v>
      </c>
      <c r="I14" s="21"/>
      <c r="J14" s="21">
        <f>+D14-F14</f>
        <v>379287691.72999996</v>
      </c>
    </row>
    <row r="15" spans="1:10" s="19" customFormat="1" x14ac:dyDescent="0.25">
      <c r="A15" s="77">
        <v>2</v>
      </c>
      <c r="B15" s="19" t="s">
        <v>228</v>
      </c>
      <c r="D15" s="78">
        <f>SUM(D16:D20)</f>
        <v>1592967069.1493475</v>
      </c>
      <c r="E15" s="78"/>
      <c r="F15" s="78">
        <f>SUM(F16:F20)</f>
        <v>603752024.00772166</v>
      </c>
      <c r="G15" s="78"/>
      <c r="H15" s="80">
        <f>SUM(H16:H20)</f>
        <v>1.7275309352414887</v>
      </c>
      <c r="I15" s="78"/>
      <c r="J15" s="78">
        <f>SUM(J16:J20)</f>
        <v>989215045.14162588</v>
      </c>
    </row>
    <row r="16" spans="1:10" x14ac:dyDescent="0.25">
      <c r="A16" s="76">
        <v>2.1</v>
      </c>
      <c r="B16" t="s">
        <v>229</v>
      </c>
      <c r="D16" s="21">
        <v>534310964.81038004</v>
      </c>
      <c r="E16" s="21"/>
      <c r="F16" s="21">
        <v>315961320.5</v>
      </c>
      <c r="G16" s="21"/>
      <c r="H16" s="79">
        <f>F16/D16</f>
        <v>0.5913435083858527</v>
      </c>
      <c r="I16" s="21"/>
      <c r="J16" s="21">
        <f>+D16-F16</f>
        <v>218349644.31038004</v>
      </c>
    </row>
    <row r="17" spans="1:10" x14ac:dyDescent="0.25">
      <c r="A17" s="76">
        <v>2.2000000000000002</v>
      </c>
      <c r="B17" t="s">
        <v>230</v>
      </c>
      <c r="D17" s="21">
        <v>105182815.72749999</v>
      </c>
      <c r="E17" s="21"/>
      <c r="F17" s="21">
        <f>'ESTADO DE REND.'!D23+'ESTADO DE REND.'!D24</f>
        <v>47906899.127721697</v>
      </c>
      <c r="G17" s="21"/>
      <c r="H17" s="79">
        <f t="shared" ref="H17:H20" si="0">F17/D17</f>
        <v>0.45546317424925586</v>
      </c>
      <c r="I17" s="21"/>
      <c r="J17" s="21">
        <f t="shared" ref="J17:J20" si="1">+D17-F17</f>
        <v>57275916.599778295</v>
      </c>
    </row>
    <row r="18" spans="1:10" x14ac:dyDescent="0.25">
      <c r="A18" s="76">
        <v>2.2999999999999998</v>
      </c>
      <c r="B18" t="s">
        <v>231</v>
      </c>
      <c r="D18" s="21">
        <v>803009394.13318014</v>
      </c>
      <c r="E18" s="21"/>
      <c r="F18" s="21">
        <f>'ESTADO DE REND.'!D22</f>
        <v>217243725.59000003</v>
      </c>
      <c r="G18" s="21"/>
      <c r="H18" s="79">
        <f t="shared" si="0"/>
        <v>0.27053696653761672</v>
      </c>
      <c r="I18" s="21"/>
      <c r="J18" s="21">
        <f t="shared" si="1"/>
        <v>585765668.54318011</v>
      </c>
    </row>
    <row r="19" spans="1:10" x14ac:dyDescent="0.25">
      <c r="A19" s="76">
        <v>2.4</v>
      </c>
      <c r="B19" t="s">
        <v>232</v>
      </c>
      <c r="D19" s="21">
        <v>1536299.9909374998</v>
      </c>
      <c r="E19" s="21"/>
      <c r="F19" s="21">
        <f>'ESTADO DE REND.'!D21</f>
        <v>400755.4</v>
      </c>
      <c r="G19" s="21"/>
      <c r="H19" s="79">
        <f t="shared" si="0"/>
        <v>0.26085751634708149</v>
      </c>
      <c r="I19" s="21"/>
      <c r="J19" s="21">
        <f t="shared" si="1"/>
        <v>1135544.5909374999</v>
      </c>
    </row>
    <row r="20" spans="1:10" x14ac:dyDescent="0.25">
      <c r="A20" s="76">
        <v>2.6</v>
      </c>
      <c r="B20" t="s">
        <v>233</v>
      </c>
      <c r="D20" s="21">
        <v>148927594.48734999</v>
      </c>
      <c r="E20" s="21"/>
      <c r="F20" s="21">
        <v>22239323.390000001</v>
      </c>
      <c r="G20" s="21"/>
      <c r="H20" s="79">
        <f t="shared" si="0"/>
        <v>0.14932976972168194</v>
      </c>
      <c r="I20" s="21"/>
      <c r="J20" s="21">
        <f t="shared" si="1"/>
        <v>126688271.09734999</v>
      </c>
    </row>
    <row r="21" spans="1:10" s="19" customFormat="1" ht="15.75" thickBot="1" x14ac:dyDescent="0.3">
      <c r="A21" s="77"/>
      <c r="B21" s="19" t="s">
        <v>238</v>
      </c>
      <c r="D21" s="70">
        <f>+D12-D15</f>
        <v>6.5255165100097656E-4</v>
      </c>
      <c r="E21" s="70"/>
      <c r="F21" s="70">
        <f>+F12-F15</f>
        <v>11715340.512278318</v>
      </c>
      <c r="G21" s="70"/>
      <c r="H21" s="70"/>
      <c r="I21" s="70"/>
      <c r="J21" s="70">
        <f>+J12-J15</f>
        <v>-11715340.511625767</v>
      </c>
    </row>
    <row r="22" spans="1:10" ht="15.75" thickTop="1" x14ac:dyDescent="0.25">
      <c r="A22" s="76"/>
      <c r="D22" s="21"/>
      <c r="E22" s="21"/>
      <c r="F22" s="21"/>
      <c r="G22" s="21"/>
      <c r="H22" s="21"/>
      <c r="I22" s="21"/>
      <c r="J22" s="21"/>
    </row>
    <row r="23" spans="1:10" x14ac:dyDescent="0.25">
      <c r="A23" s="76"/>
      <c r="D23" s="21"/>
      <c r="E23" s="21"/>
      <c r="G23" s="21"/>
      <c r="H23" s="21"/>
      <c r="I23" s="21"/>
      <c r="J23" s="21"/>
    </row>
    <row r="24" spans="1:10" x14ac:dyDescent="0.25">
      <c r="A24" s="76"/>
      <c r="D24" s="21"/>
      <c r="E24" s="21"/>
      <c r="F24" s="21"/>
      <c r="G24" s="21"/>
      <c r="H24" s="21"/>
      <c r="I24" s="21"/>
      <c r="J24" s="21"/>
    </row>
    <row r="25" spans="1:10" x14ac:dyDescent="0.25">
      <c r="A25" s="76"/>
      <c r="D25" s="21"/>
      <c r="E25" s="21"/>
      <c r="F25" s="21"/>
      <c r="G25" s="21"/>
      <c r="H25" s="21"/>
      <c r="I25" s="21"/>
      <c r="J25" s="21"/>
    </row>
    <row r="26" spans="1:10" x14ac:dyDescent="0.25">
      <c r="A26" s="76"/>
      <c r="D26" s="21"/>
      <c r="E26" s="21"/>
      <c r="F26" s="21"/>
      <c r="G26" s="21"/>
      <c r="H26" s="21"/>
      <c r="I26" s="21"/>
      <c r="J26" s="21"/>
    </row>
    <row r="27" spans="1:10" x14ac:dyDescent="0.25">
      <c r="A27" s="76"/>
      <c r="D27" s="21"/>
      <c r="E27" s="21"/>
      <c r="F27" s="21"/>
      <c r="G27" s="21"/>
      <c r="H27" s="21"/>
      <c r="I27" s="21"/>
      <c r="J27" s="21"/>
    </row>
    <row r="28" spans="1:10" x14ac:dyDescent="0.25">
      <c r="A28" s="76"/>
      <c r="D28" s="21"/>
      <c r="E28" s="21"/>
      <c r="F28" s="21"/>
      <c r="G28" s="21"/>
      <c r="H28" s="21"/>
      <c r="I28" s="21"/>
      <c r="J28" s="21"/>
    </row>
    <row r="29" spans="1:10" x14ac:dyDescent="0.25">
      <c r="A29" s="76"/>
      <c r="D29" s="21"/>
      <c r="E29" s="21"/>
      <c r="F29" s="21"/>
      <c r="G29" s="21"/>
      <c r="H29" s="21"/>
      <c r="I29" s="21"/>
      <c r="J29" s="21"/>
    </row>
    <row r="30" spans="1:10" x14ac:dyDescent="0.25">
      <c r="A30" s="76"/>
      <c r="D30" s="21"/>
      <c r="E30" s="21"/>
      <c r="F30" s="21"/>
      <c r="G30" s="21"/>
      <c r="H30" s="21"/>
      <c r="I30" s="21"/>
      <c r="J30" s="21"/>
    </row>
    <row r="31" spans="1:10" x14ac:dyDescent="0.25">
      <c r="A31" s="206" t="s">
        <v>191</v>
      </c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x14ac:dyDescent="0.25">
      <c r="A32" s="206" t="s">
        <v>192</v>
      </c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6" spans="1:10" x14ac:dyDescent="0.25">
      <c r="A36" s="206" t="s">
        <v>194</v>
      </c>
      <c r="B36" s="206"/>
      <c r="C36" s="206"/>
      <c r="D36" s="206"/>
      <c r="E36" s="206" t="s">
        <v>193</v>
      </c>
      <c r="F36" s="206"/>
      <c r="G36" s="206"/>
      <c r="H36" s="206"/>
      <c r="I36" s="206"/>
      <c r="J36" s="206"/>
    </row>
    <row r="37" spans="1:10" x14ac:dyDescent="0.25">
      <c r="A37" s="206" t="s">
        <v>195</v>
      </c>
      <c r="B37" s="206"/>
      <c r="C37" s="206"/>
      <c r="D37" s="206"/>
      <c r="E37" s="206" t="s">
        <v>196</v>
      </c>
      <c r="F37" s="206"/>
      <c r="G37" s="206"/>
      <c r="H37" s="206"/>
      <c r="I37" s="206"/>
      <c r="J37" s="206"/>
    </row>
    <row r="38" spans="1:10" x14ac:dyDescent="0.25">
      <c r="A38" s="76"/>
      <c r="B38" t="s">
        <v>322</v>
      </c>
      <c r="F38" s="21"/>
    </row>
    <row r="39" spans="1:10" x14ac:dyDescent="0.25">
      <c r="A39" s="76"/>
    </row>
    <row r="78" spans="2:2" x14ac:dyDescent="0.25">
      <c r="B78" s="19" t="s">
        <v>318</v>
      </c>
    </row>
    <row r="79" spans="2:2" x14ac:dyDescent="0.25">
      <c r="B79" s="19" t="s">
        <v>319</v>
      </c>
    </row>
    <row r="80" spans="2:2" x14ac:dyDescent="0.25">
      <c r="B80" s="19" t="s">
        <v>320</v>
      </c>
    </row>
    <row r="83" spans="2:2" x14ac:dyDescent="0.25">
      <c r="B83" s="19" t="s">
        <v>321</v>
      </c>
    </row>
    <row r="85" spans="2:2" x14ac:dyDescent="0.25">
      <c r="B85" t="s">
        <v>323</v>
      </c>
    </row>
    <row r="86" spans="2:2" x14ac:dyDescent="0.25">
      <c r="B86" t="s">
        <v>324</v>
      </c>
    </row>
  </sheetData>
  <mergeCells count="15">
    <mergeCell ref="A31:J31"/>
    <mergeCell ref="A32:J32"/>
    <mergeCell ref="A36:D36"/>
    <mergeCell ref="A37:D37"/>
    <mergeCell ref="E36:J36"/>
    <mergeCell ref="E37:J37"/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103"/>
  <sheetViews>
    <sheetView workbookViewId="0">
      <selection activeCell="B10" sqref="B10"/>
    </sheetView>
  </sheetViews>
  <sheetFormatPr baseColWidth="10" defaultRowHeight="15" x14ac:dyDescent="0.25"/>
  <cols>
    <col min="2" max="2" width="46.28515625" customWidth="1"/>
    <col min="3" max="3" width="18.7109375" customWidth="1"/>
    <col min="4" max="4" width="19.85546875" customWidth="1"/>
    <col min="5" max="5" width="17.42578125" customWidth="1"/>
    <col min="6" max="8" width="19.5703125" customWidth="1"/>
    <col min="9" max="10" width="16.28515625" customWidth="1"/>
    <col min="11" max="13" width="15.140625" customWidth="1"/>
    <col min="14" max="14" width="17.42578125" customWidth="1"/>
  </cols>
  <sheetData>
    <row r="10" spans="2:14" x14ac:dyDescent="0.25">
      <c r="B10">
        <v>3</v>
      </c>
    </row>
    <row r="12" spans="2:14" x14ac:dyDescent="0.25">
      <c r="B12" s="160" t="s">
        <v>362</v>
      </c>
      <c r="C12" s="160" t="s">
        <v>361</v>
      </c>
      <c r="D12" s="160" t="s">
        <v>358</v>
      </c>
      <c r="E12" s="167" t="s">
        <v>359</v>
      </c>
      <c r="F12" s="160" t="s">
        <v>360</v>
      </c>
      <c r="G12" s="160" t="s">
        <v>291</v>
      </c>
      <c r="H12" s="157"/>
      <c r="I12" s="158"/>
      <c r="J12" s="158"/>
      <c r="K12" s="170"/>
      <c r="L12" s="170"/>
      <c r="M12" s="110"/>
      <c r="N12" s="157"/>
    </row>
    <row r="13" spans="2:14" x14ac:dyDescent="0.25">
      <c r="B13" s="161" t="s">
        <v>23</v>
      </c>
      <c r="C13" s="159"/>
      <c r="D13" s="165">
        <v>40198728.869999997</v>
      </c>
      <c r="E13" s="164">
        <v>7446101.8399999999</v>
      </c>
      <c r="F13" s="164">
        <f>65304630.02-D13-E13</f>
        <v>17659799.310000006</v>
      </c>
      <c r="G13" s="162">
        <f>C13+D13+E13+F13</f>
        <v>65304630.019999996</v>
      </c>
      <c r="H13" s="157"/>
      <c r="I13" s="171"/>
      <c r="J13" s="171"/>
      <c r="K13" s="110"/>
      <c r="L13" s="110"/>
      <c r="M13" s="110"/>
      <c r="N13" s="157"/>
    </row>
    <row r="14" spans="2:14" x14ac:dyDescent="0.25">
      <c r="B14" s="161" t="s">
        <v>182</v>
      </c>
      <c r="C14" s="159"/>
      <c r="D14" s="165">
        <v>2622475.71</v>
      </c>
      <c r="E14" s="164">
        <f>4061050.6+24947.76</f>
        <v>4085998.36</v>
      </c>
      <c r="F14" s="166">
        <f>27019340.48-D14-E14</f>
        <v>20310866.41</v>
      </c>
      <c r="G14" s="162">
        <f t="shared" ref="G14:G40" si="0">C14+D14+E14+F14</f>
        <v>27019340.48</v>
      </c>
      <c r="H14" s="157"/>
      <c r="I14" s="171"/>
      <c r="J14" s="171"/>
      <c r="K14" s="171"/>
      <c r="L14" s="110"/>
      <c r="M14" s="110"/>
      <c r="N14" s="157"/>
    </row>
    <row r="15" spans="2:14" x14ac:dyDescent="0.25">
      <c r="B15" s="161" t="s">
        <v>354</v>
      </c>
      <c r="C15" s="159"/>
      <c r="D15" s="165"/>
      <c r="E15" s="164">
        <v>44594.86</v>
      </c>
      <c r="F15" s="166">
        <f>2908480.31-E15</f>
        <v>2863885.45</v>
      </c>
      <c r="G15" s="162">
        <f t="shared" si="0"/>
        <v>2908480.31</v>
      </c>
      <c r="H15" s="157"/>
      <c r="I15" s="171"/>
      <c r="J15" s="171"/>
      <c r="K15" s="110"/>
      <c r="L15" s="110"/>
      <c r="M15" s="110"/>
      <c r="N15" s="157"/>
    </row>
    <row r="16" spans="2:14" x14ac:dyDescent="0.25">
      <c r="B16" s="161" t="s">
        <v>24</v>
      </c>
      <c r="C16" s="159"/>
      <c r="D16" s="165"/>
      <c r="E16" s="164"/>
      <c r="F16" s="166">
        <v>0</v>
      </c>
      <c r="G16" s="162">
        <f t="shared" si="0"/>
        <v>0</v>
      </c>
      <c r="H16" s="157"/>
      <c r="I16" s="171"/>
      <c r="J16" s="171"/>
      <c r="K16" s="110"/>
      <c r="L16" s="110"/>
      <c r="M16" s="110"/>
      <c r="N16" s="157"/>
    </row>
    <row r="17" spans="2:14" x14ac:dyDescent="0.25">
      <c r="B17" s="161" t="s">
        <v>25</v>
      </c>
      <c r="C17" s="159"/>
      <c r="D17" s="165">
        <v>1565975.69</v>
      </c>
      <c r="E17" s="164">
        <v>855032.9</v>
      </c>
      <c r="F17" s="166">
        <f>13405450.41-D17-E17</f>
        <v>10984441.82</v>
      </c>
      <c r="G17" s="162">
        <f t="shared" si="0"/>
        <v>13405450.41</v>
      </c>
      <c r="H17" s="157"/>
      <c r="I17" s="171"/>
      <c r="J17" s="171"/>
      <c r="K17" s="171"/>
      <c r="L17" s="110"/>
      <c r="M17" s="110"/>
      <c r="N17" s="157"/>
    </row>
    <row r="18" spans="2:14" x14ac:dyDescent="0.25">
      <c r="B18" s="161" t="s">
        <v>26</v>
      </c>
      <c r="C18" s="159"/>
      <c r="D18" s="165">
        <v>1596025.62</v>
      </c>
      <c r="E18" s="164">
        <v>1775048.97</v>
      </c>
      <c r="F18" s="166">
        <f>20693576.77-D18-E18</f>
        <v>17322502.18</v>
      </c>
      <c r="G18" s="162">
        <f t="shared" si="0"/>
        <v>20693576.77</v>
      </c>
      <c r="H18" s="157"/>
      <c r="I18" s="172"/>
      <c r="J18" s="171"/>
      <c r="K18" s="110"/>
      <c r="L18" s="110"/>
      <c r="M18" s="110"/>
      <c r="N18" s="157"/>
    </row>
    <row r="19" spans="2:14" x14ac:dyDescent="0.25">
      <c r="B19" s="161" t="s">
        <v>27</v>
      </c>
      <c r="C19" s="159"/>
      <c r="D19" s="165">
        <v>3325662.18</v>
      </c>
      <c r="E19" s="164">
        <v>380095.01</v>
      </c>
      <c r="F19" s="166">
        <f>18368020.01-D19-E19</f>
        <v>14662262.820000002</v>
      </c>
      <c r="G19" s="162">
        <f t="shared" si="0"/>
        <v>18368020.010000002</v>
      </c>
      <c r="H19" s="157"/>
      <c r="I19" s="171"/>
      <c r="J19" s="171"/>
      <c r="K19" s="110"/>
      <c r="L19" s="110"/>
      <c r="M19" s="110"/>
      <c r="N19" s="163"/>
    </row>
    <row r="20" spans="2:14" x14ac:dyDescent="0.25">
      <c r="B20" s="161" t="s">
        <v>28</v>
      </c>
      <c r="C20" s="159"/>
      <c r="D20" s="165">
        <v>556474.5</v>
      </c>
      <c r="E20" s="164">
        <v>2190647.92</v>
      </c>
      <c r="F20" s="166">
        <f>12388099.12-D20-E20</f>
        <v>9640976.6999999993</v>
      </c>
      <c r="G20" s="162">
        <f t="shared" si="0"/>
        <v>12388099.119999999</v>
      </c>
      <c r="H20" s="157"/>
      <c r="I20" s="171"/>
      <c r="J20" s="171"/>
      <c r="K20" s="171"/>
      <c r="L20" s="110"/>
      <c r="M20" s="110"/>
      <c r="N20" s="173"/>
    </row>
    <row r="21" spans="2:14" x14ac:dyDescent="0.25">
      <c r="B21" s="161" t="s">
        <v>29</v>
      </c>
      <c r="C21" s="159"/>
      <c r="D21" s="165">
        <v>551860.89</v>
      </c>
      <c r="E21" s="164">
        <v>5700</v>
      </c>
      <c r="F21" s="166">
        <f>4644806.03-D21-E21</f>
        <v>4087245.14</v>
      </c>
      <c r="G21" s="162">
        <f t="shared" si="0"/>
        <v>4644806.03</v>
      </c>
      <c r="H21" s="157"/>
      <c r="I21" s="171"/>
      <c r="J21" s="171"/>
      <c r="K21" s="110"/>
      <c r="L21" s="110"/>
      <c r="M21" s="110"/>
      <c r="N21" s="163"/>
    </row>
    <row r="22" spans="2:14" x14ac:dyDescent="0.25">
      <c r="B22" s="161" t="s">
        <v>30</v>
      </c>
      <c r="C22" s="159"/>
      <c r="D22" s="165">
        <v>55244.17</v>
      </c>
      <c r="E22" s="164">
        <v>9745</v>
      </c>
      <c r="F22" s="166">
        <f>2470123.33-D22-E22</f>
        <v>2405134.16</v>
      </c>
      <c r="G22" s="162">
        <f t="shared" si="0"/>
        <v>2470123.33</v>
      </c>
      <c r="H22" s="157"/>
      <c r="I22" s="171"/>
      <c r="J22" s="171"/>
      <c r="K22" s="110"/>
      <c r="L22" s="110"/>
      <c r="M22" s="110"/>
      <c r="N22" s="163"/>
    </row>
    <row r="23" spans="2:14" x14ac:dyDescent="0.25">
      <c r="B23" s="161" t="s">
        <v>31</v>
      </c>
      <c r="C23" s="159"/>
      <c r="D23" s="165">
        <v>622527.71</v>
      </c>
      <c r="E23" s="164">
        <v>385069.17</v>
      </c>
      <c r="F23" s="166">
        <f>8422109.94-D23-E23</f>
        <v>7414513.0599999996</v>
      </c>
      <c r="G23" s="162">
        <f t="shared" si="0"/>
        <v>8422109.9399999995</v>
      </c>
      <c r="H23" s="157"/>
      <c r="I23" s="171"/>
      <c r="J23" s="171"/>
      <c r="K23" s="171"/>
      <c r="L23" s="110"/>
      <c r="M23" s="110"/>
      <c r="N23" s="163"/>
    </row>
    <row r="24" spans="2:14" x14ac:dyDescent="0.25">
      <c r="B24" s="161" t="s">
        <v>32</v>
      </c>
      <c r="C24" s="159"/>
      <c r="D24" s="165"/>
      <c r="E24" s="164"/>
      <c r="F24" s="166">
        <v>236474.6</v>
      </c>
      <c r="G24" s="162">
        <f t="shared" si="0"/>
        <v>236474.6</v>
      </c>
      <c r="H24" s="157"/>
      <c r="I24" s="171"/>
      <c r="J24" s="171"/>
      <c r="K24" s="171"/>
      <c r="L24" s="110"/>
      <c r="M24" s="110"/>
      <c r="N24" s="174"/>
    </row>
    <row r="25" spans="2:14" x14ac:dyDescent="0.25">
      <c r="B25" s="161" t="s">
        <v>33</v>
      </c>
      <c r="C25" s="159"/>
      <c r="D25" s="165">
        <v>11061.96</v>
      </c>
      <c r="E25" s="164">
        <v>3020</v>
      </c>
      <c r="F25" s="166">
        <f>2524784.32-D25-E25</f>
        <v>2510702.36</v>
      </c>
      <c r="G25" s="162">
        <f t="shared" si="0"/>
        <v>2524784.3199999998</v>
      </c>
      <c r="H25" s="157"/>
      <c r="I25" s="171"/>
      <c r="J25" s="171"/>
      <c r="K25" s="171"/>
      <c r="L25" s="110"/>
      <c r="M25" s="110"/>
      <c r="N25" s="157"/>
    </row>
    <row r="26" spans="2:14" x14ac:dyDescent="0.25">
      <c r="B26" s="161" t="s">
        <v>34</v>
      </c>
      <c r="C26" s="159"/>
      <c r="D26" s="165">
        <v>197548.19</v>
      </c>
      <c r="E26" s="164">
        <v>85715.87</v>
      </c>
      <c r="F26" s="166">
        <f>637325.83-D26-E26</f>
        <v>354061.76999999996</v>
      </c>
      <c r="G26" s="162">
        <f t="shared" si="0"/>
        <v>637325.82999999996</v>
      </c>
      <c r="H26" s="157"/>
      <c r="I26" s="173"/>
      <c r="J26" s="171"/>
      <c r="K26" s="171"/>
      <c r="L26" s="110"/>
      <c r="M26" s="110"/>
      <c r="N26" s="157"/>
    </row>
    <row r="27" spans="2:14" x14ac:dyDescent="0.25">
      <c r="B27" s="161" t="s">
        <v>35</v>
      </c>
      <c r="C27" s="159"/>
      <c r="D27" s="165">
        <v>5180</v>
      </c>
      <c r="E27" s="164">
        <v>0</v>
      </c>
      <c r="F27" s="166">
        <f>847742.79-D27-E27</f>
        <v>842562.79</v>
      </c>
      <c r="G27" s="162">
        <f t="shared" si="0"/>
        <v>847742.79</v>
      </c>
      <c r="H27" s="157"/>
      <c r="I27" s="171"/>
      <c r="J27" s="171"/>
      <c r="K27" s="110"/>
      <c r="L27" s="110"/>
      <c r="M27" s="110"/>
      <c r="N27" s="157"/>
    </row>
    <row r="28" spans="2:14" x14ac:dyDescent="0.25">
      <c r="B28" s="161" t="s">
        <v>36</v>
      </c>
      <c r="C28" s="159"/>
      <c r="D28" s="165">
        <v>31983.01</v>
      </c>
      <c r="E28" s="164">
        <v>133448.89000000001</v>
      </c>
      <c r="F28" s="166">
        <f>1060845.25-D28-E28</f>
        <v>895413.35</v>
      </c>
      <c r="G28" s="162">
        <f t="shared" si="0"/>
        <v>1060845.25</v>
      </c>
      <c r="H28" s="157"/>
      <c r="I28" s="171"/>
      <c r="J28" s="171"/>
      <c r="K28" s="171"/>
      <c r="L28" s="110"/>
      <c r="M28" s="110"/>
      <c r="N28" s="157"/>
    </row>
    <row r="29" spans="2:14" x14ac:dyDescent="0.25">
      <c r="B29" s="161" t="s">
        <v>37</v>
      </c>
      <c r="C29" s="159"/>
      <c r="D29" s="165">
        <v>13964.96</v>
      </c>
      <c r="E29" s="164">
        <f>1200+3822.49</f>
        <v>5022.49</v>
      </c>
      <c r="F29" s="166">
        <f>111149.18-D29-E29</f>
        <v>92161.73</v>
      </c>
      <c r="G29" s="162">
        <f t="shared" si="0"/>
        <v>111149.18</v>
      </c>
      <c r="H29" s="157"/>
      <c r="I29" s="171"/>
      <c r="J29" s="171"/>
      <c r="K29" s="171"/>
      <c r="L29" s="110"/>
      <c r="M29" s="110"/>
      <c r="N29" s="175"/>
    </row>
    <row r="30" spans="2:14" x14ac:dyDescent="0.25">
      <c r="B30" s="161" t="s">
        <v>38</v>
      </c>
      <c r="C30" s="159"/>
      <c r="D30" s="165">
        <v>740946.32</v>
      </c>
      <c r="E30" s="164">
        <v>36947.919999999998</v>
      </c>
      <c r="F30" s="166">
        <f>2416322.8-D30-E30</f>
        <v>1638428.56</v>
      </c>
      <c r="G30" s="162">
        <f t="shared" si="0"/>
        <v>2416322.7999999998</v>
      </c>
      <c r="H30" s="157"/>
      <c r="I30" s="171"/>
      <c r="J30" s="171"/>
      <c r="K30" s="110"/>
      <c r="L30" s="110"/>
      <c r="M30" s="110"/>
      <c r="N30" s="110"/>
    </row>
    <row r="31" spans="2:14" x14ac:dyDescent="0.25">
      <c r="B31" s="161" t="s">
        <v>39</v>
      </c>
      <c r="C31" s="159"/>
      <c r="D31" s="165">
        <v>121100.05</v>
      </c>
      <c r="E31" s="164">
        <v>96364</v>
      </c>
      <c r="F31" s="166">
        <f>6279795.78-D31-E31</f>
        <v>6062331.7300000004</v>
      </c>
      <c r="G31" s="162">
        <f t="shared" si="0"/>
        <v>6279795.7800000003</v>
      </c>
      <c r="H31" s="157"/>
      <c r="I31" s="172"/>
      <c r="J31" s="171"/>
      <c r="K31" s="110"/>
      <c r="L31" s="110"/>
      <c r="M31" s="110"/>
      <c r="N31" s="174"/>
    </row>
    <row r="32" spans="2:14" x14ac:dyDescent="0.25">
      <c r="B32" s="161" t="s">
        <v>40</v>
      </c>
      <c r="C32" s="159"/>
      <c r="D32" s="165">
        <v>25500</v>
      </c>
      <c r="E32" s="164">
        <v>0</v>
      </c>
      <c r="F32" s="166">
        <f>187046.02-D32-E32</f>
        <v>161546.01999999999</v>
      </c>
      <c r="G32" s="162">
        <f t="shared" si="0"/>
        <v>187046.02</v>
      </c>
      <c r="H32" s="110"/>
      <c r="I32" s="171"/>
      <c r="J32" s="171"/>
      <c r="K32" s="171"/>
      <c r="L32" s="110"/>
      <c r="M32" s="110"/>
      <c r="N32" s="157"/>
    </row>
    <row r="33" spans="2:14" x14ac:dyDescent="0.25">
      <c r="B33" s="161" t="s">
        <v>41</v>
      </c>
      <c r="C33" s="159"/>
      <c r="D33" s="165"/>
      <c r="E33" s="164"/>
      <c r="F33" s="166">
        <f t="shared" ref="F33" si="1">I33-D33-E33</f>
        <v>0</v>
      </c>
      <c r="G33" s="162">
        <f t="shared" si="0"/>
        <v>0</v>
      </c>
      <c r="H33" s="157"/>
      <c r="I33" s="171"/>
      <c r="J33" s="171"/>
      <c r="K33" s="110"/>
      <c r="L33" s="110"/>
      <c r="M33" s="110"/>
      <c r="N33" s="110"/>
    </row>
    <row r="34" spans="2:14" x14ac:dyDescent="0.25">
      <c r="B34" s="161" t="s">
        <v>42</v>
      </c>
      <c r="C34" s="159"/>
      <c r="D34" s="165">
        <v>9102.7999999999993</v>
      </c>
      <c r="E34" s="164">
        <v>8154.4</v>
      </c>
      <c r="F34" s="166">
        <f>5354699.92-D34-E34</f>
        <v>5337442.72</v>
      </c>
      <c r="G34" s="162">
        <f t="shared" si="0"/>
        <v>5354699.92</v>
      </c>
      <c r="H34" s="110"/>
      <c r="I34" s="171"/>
      <c r="J34" s="171"/>
      <c r="K34" s="171"/>
      <c r="L34" s="110"/>
      <c r="M34" s="110"/>
      <c r="N34" s="163"/>
    </row>
    <row r="35" spans="2:14" x14ac:dyDescent="0.25">
      <c r="B35" s="161" t="s">
        <v>43</v>
      </c>
      <c r="C35" s="159"/>
      <c r="D35" s="165">
        <v>180344.44</v>
      </c>
      <c r="E35" s="164">
        <v>7491.3</v>
      </c>
      <c r="F35" s="166">
        <f>2983624.63-D35-E35</f>
        <v>2795788.89</v>
      </c>
      <c r="G35" s="162">
        <f t="shared" si="0"/>
        <v>2983624.63</v>
      </c>
      <c r="H35" s="110"/>
      <c r="I35" s="172"/>
      <c r="J35" s="171"/>
      <c r="K35" s="172"/>
      <c r="L35" s="110"/>
      <c r="M35" s="110"/>
      <c r="N35" s="174"/>
    </row>
    <row r="36" spans="2:14" x14ac:dyDescent="0.25">
      <c r="B36" s="159" t="s">
        <v>47</v>
      </c>
      <c r="C36" s="159"/>
      <c r="D36" s="165"/>
      <c r="E36" s="164"/>
      <c r="F36" s="166">
        <v>399008.37</v>
      </c>
      <c r="G36" s="162">
        <f t="shared" si="0"/>
        <v>399008.37</v>
      </c>
      <c r="H36" s="110"/>
      <c r="I36" s="172"/>
      <c r="J36" s="171"/>
      <c r="K36" s="110"/>
      <c r="L36" s="110"/>
      <c r="M36" s="110"/>
      <c r="N36" s="174"/>
    </row>
    <row r="37" spans="2:14" x14ac:dyDescent="0.25">
      <c r="B37" s="159" t="s">
        <v>355</v>
      </c>
      <c r="C37" s="159"/>
      <c r="D37" s="165"/>
      <c r="E37" s="164"/>
      <c r="F37" s="166">
        <v>0</v>
      </c>
      <c r="G37" s="162">
        <f t="shared" si="0"/>
        <v>0</v>
      </c>
      <c r="H37" s="110"/>
      <c r="I37" s="172"/>
      <c r="J37" s="171"/>
      <c r="K37" s="110"/>
      <c r="L37" s="110"/>
      <c r="M37" s="110"/>
      <c r="N37" s="174"/>
    </row>
    <row r="38" spans="2:14" x14ac:dyDescent="0.25">
      <c r="B38" s="159" t="s">
        <v>356</v>
      </c>
      <c r="C38" s="159"/>
      <c r="D38" s="165"/>
      <c r="E38" s="164"/>
      <c r="F38" s="166">
        <v>56318.95</v>
      </c>
      <c r="G38" s="162">
        <f t="shared" si="0"/>
        <v>56318.95</v>
      </c>
      <c r="H38" s="157"/>
      <c r="I38" s="172"/>
      <c r="J38" s="171"/>
      <c r="K38" s="110"/>
      <c r="L38" s="110"/>
      <c r="M38" s="110"/>
      <c r="N38" s="174"/>
    </row>
    <row r="39" spans="2:14" x14ac:dyDescent="0.25">
      <c r="B39" s="159" t="s">
        <v>357</v>
      </c>
      <c r="C39" s="159"/>
      <c r="D39" s="165"/>
      <c r="E39" s="164"/>
      <c r="F39" s="164">
        <v>5123347.76</v>
      </c>
      <c r="G39" s="162">
        <f t="shared" si="0"/>
        <v>5123347.76</v>
      </c>
      <c r="H39" s="157"/>
      <c r="I39" s="172"/>
      <c r="J39" s="171"/>
      <c r="K39" s="110"/>
      <c r="L39" s="110"/>
      <c r="M39" s="110"/>
      <c r="N39" s="174"/>
    </row>
    <row r="40" spans="2:14" ht="15.75" thickBot="1" x14ac:dyDescent="0.3">
      <c r="B40" s="176"/>
      <c r="C40" s="177"/>
      <c r="D40" s="178">
        <v>0</v>
      </c>
      <c r="E40" s="179"/>
      <c r="F40" s="177"/>
      <c r="G40" s="180">
        <f t="shared" si="0"/>
        <v>0</v>
      </c>
      <c r="H40" s="157"/>
      <c r="I40" s="172"/>
      <c r="J40" s="172"/>
      <c r="K40" s="172"/>
      <c r="L40" s="172"/>
      <c r="M40" s="110"/>
      <c r="N40" s="174"/>
    </row>
    <row r="41" spans="2:14" ht="15.75" thickBot="1" x14ac:dyDescent="0.3">
      <c r="B41" s="181" t="s">
        <v>363</v>
      </c>
      <c r="C41" s="182"/>
      <c r="D41" s="183">
        <f>SUM(D13:D40)</f>
        <v>52431707.069999985</v>
      </c>
      <c r="E41" s="183">
        <f>SUM(E13:E39)</f>
        <v>17554198.900000002</v>
      </c>
      <c r="F41" s="183">
        <f>SUM(F13:F39)</f>
        <v>133857216.65000004</v>
      </c>
      <c r="G41" s="184">
        <f>SUM(G13:G40)</f>
        <v>203843122.62</v>
      </c>
      <c r="H41" s="157"/>
      <c r="I41" s="175"/>
      <c r="J41" s="175"/>
      <c r="K41" s="175"/>
      <c r="L41" s="175"/>
      <c r="M41" s="175"/>
      <c r="N41" s="174"/>
    </row>
    <row r="42" spans="2:14" x14ac:dyDescent="0.25">
      <c r="B42" s="168"/>
      <c r="C42" s="168"/>
      <c r="D42" s="168"/>
      <c r="E42" s="169"/>
      <c r="F42" s="168"/>
      <c r="G42" s="168"/>
      <c r="H42" s="157"/>
      <c r="I42" s="157"/>
      <c r="J42" s="157"/>
      <c r="K42" s="110"/>
      <c r="L42" s="110"/>
      <c r="M42" s="110"/>
      <c r="N42" s="157"/>
    </row>
    <row r="43" spans="2:14" x14ac:dyDescent="0.25">
      <c r="E43" s="21"/>
      <c r="F43" s="18"/>
      <c r="H43" s="157"/>
      <c r="I43" s="157"/>
      <c r="J43" s="157"/>
      <c r="K43" s="157"/>
      <c r="L43" s="157"/>
      <c r="M43" s="157"/>
      <c r="N43" s="157"/>
    </row>
    <row r="44" spans="2:14" x14ac:dyDescent="0.25">
      <c r="E44" s="21"/>
      <c r="F44" s="18"/>
      <c r="H44" s="157"/>
      <c r="I44" s="157"/>
      <c r="J44" s="157"/>
      <c r="K44" s="157"/>
      <c r="L44" s="157"/>
      <c r="M44" s="157"/>
      <c r="N44" s="157"/>
    </row>
    <row r="45" spans="2:14" x14ac:dyDescent="0.25">
      <c r="B45" s="157"/>
      <c r="C45" s="157"/>
      <c r="D45" s="157"/>
      <c r="E45" s="110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2:14" x14ac:dyDescent="0.25">
      <c r="B46" s="157"/>
      <c r="C46" s="157"/>
      <c r="D46" s="157"/>
      <c r="E46" s="110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2:14" x14ac:dyDescent="0.25">
      <c r="B47" s="157"/>
      <c r="C47" s="157"/>
      <c r="D47" s="157"/>
      <c r="E47" s="110"/>
      <c r="F47" s="157"/>
      <c r="G47" s="157"/>
      <c r="H47" s="157"/>
      <c r="I47" s="157"/>
      <c r="J47" s="157"/>
      <c r="K47" s="157"/>
      <c r="L47" s="157"/>
      <c r="M47" s="110"/>
      <c r="N47" s="157"/>
    </row>
    <row r="48" spans="2:14" x14ac:dyDescent="0.25">
      <c r="B48" s="157"/>
      <c r="C48" s="157"/>
      <c r="D48" s="157"/>
      <c r="E48" s="110"/>
      <c r="F48" s="157"/>
      <c r="G48" s="157"/>
      <c r="H48" s="157"/>
      <c r="I48" s="110"/>
      <c r="J48" s="110"/>
      <c r="K48" s="110"/>
      <c r="L48" s="110"/>
      <c r="M48" s="110"/>
      <c r="N48" s="157"/>
    </row>
    <row r="49" spans="2:14" x14ac:dyDescent="0.25">
      <c r="B49" s="157"/>
      <c r="C49" s="157"/>
      <c r="D49" s="157"/>
      <c r="E49" s="110"/>
      <c r="F49" s="157"/>
      <c r="G49" s="157"/>
      <c r="H49" s="157"/>
      <c r="I49" s="110"/>
      <c r="J49" s="110"/>
      <c r="K49" s="110"/>
      <c r="L49" s="110"/>
      <c r="M49" s="110"/>
      <c r="N49" s="157"/>
    </row>
    <row r="50" spans="2:14" x14ac:dyDescent="0.25">
      <c r="B50" s="157"/>
      <c r="C50" s="157"/>
      <c r="D50" s="157"/>
      <c r="E50" s="110"/>
      <c r="F50" s="157"/>
      <c r="G50" s="157"/>
      <c r="H50" s="157"/>
      <c r="I50" s="110"/>
      <c r="J50" s="110"/>
      <c r="K50" s="110"/>
      <c r="L50" s="110"/>
      <c r="M50" s="110"/>
      <c r="N50" s="157"/>
    </row>
    <row r="51" spans="2:14" x14ac:dyDescent="0.25">
      <c r="B51" s="157"/>
      <c r="C51" s="157"/>
      <c r="D51" s="157"/>
      <c r="E51" s="110"/>
      <c r="F51" s="157"/>
      <c r="G51" s="157"/>
      <c r="H51" s="157"/>
      <c r="I51" s="110"/>
      <c r="J51" s="110"/>
      <c r="K51" s="110"/>
      <c r="L51" s="110"/>
      <c r="M51" s="110"/>
      <c r="N51" s="157"/>
    </row>
    <row r="52" spans="2:14" x14ac:dyDescent="0.25">
      <c r="B52" s="157"/>
      <c r="C52" s="157"/>
      <c r="D52" s="157"/>
      <c r="E52" s="110"/>
      <c r="F52" s="157"/>
      <c r="G52" s="157"/>
      <c r="H52" s="157"/>
      <c r="I52" s="110"/>
      <c r="J52" s="110"/>
      <c r="K52" s="110"/>
      <c r="L52" s="110"/>
      <c r="M52" s="110"/>
    </row>
    <row r="53" spans="2:14" x14ac:dyDescent="0.25">
      <c r="B53" s="157"/>
      <c r="C53" s="157"/>
      <c r="D53" s="157"/>
      <c r="E53" s="110"/>
      <c r="F53" s="157"/>
      <c r="G53" s="157"/>
      <c r="H53" s="157"/>
      <c r="I53" s="110"/>
      <c r="J53" s="110"/>
      <c r="K53" s="110"/>
      <c r="L53" s="110"/>
      <c r="M53" s="110"/>
    </row>
    <row r="54" spans="2:14" x14ac:dyDescent="0.25">
      <c r="B54" s="157"/>
      <c r="C54" s="157"/>
      <c r="D54" s="157"/>
      <c r="E54" s="110"/>
      <c r="F54" s="157"/>
      <c r="G54" s="157"/>
      <c r="H54" s="157"/>
      <c r="I54" s="110"/>
      <c r="J54" s="110"/>
      <c r="K54" s="110"/>
      <c r="L54" s="110"/>
      <c r="M54" s="110"/>
    </row>
    <row r="55" spans="2:14" x14ac:dyDescent="0.25">
      <c r="B55" s="157"/>
      <c r="C55" s="157"/>
      <c r="D55" s="157"/>
      <c r="E55" s="110"/>
      <c r="F55" s="157"/>
      <c r="G55" s="157"/>
      <c r="H55" s="157"/>
      <c r="I55" s="110"/>
      <c r="J55" s="110"/>
      <c r="K55" s="110"/>
      <c r="L55" s="110"/>
      <c r="M55" s="110"/>
    </row>
    <row r="56" spans="2:14" x14ac:dyDescent="0.25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2:14" x14ac:dyDescent="0.25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2:14" x14ac:dyDescent="0.25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2:14" x14ac:dyDescent="0.25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2:14" x14ac:dyDescent="0.25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2:14" x14ac:dyDescent="0.25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2:14" x14ac:dyDescent="0.25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2:14" x14ac:dyDescent="0.25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2:14" x14ac:dyDescent="0.25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2:13" x14ac:dyDescent="0.25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2:13" x14ac:dyDescent="0.25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2:13" x14ac:dyDescent="0.25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x14ac:dyDescent="0.25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2:13" x14ac:dyDescent="0.25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 x14ac:dyDescent="0.25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 x14ac:dyDescent="0.25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 x14ac:dyDescent="0.25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 x14ac:dyDescent="0.25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 x14ac:dyDescent="0.25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2:13" x14ac:dyDescent="0.25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x14ac:dyDescent="0.2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2:13" x14ac:dyDescent="0.2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2:13" x14ac:dyDescent="0.2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2:13" x14ac:dyDescent="0.2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2:13" x14ac:dyDescent="0.25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2:13" x14ac:dyDescent="0.25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2:13" x14ac:dyDescent="0.25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spans="2:13" x14ac:dyDescent="0.25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2:13" x14ac:dyDescent="0.25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2:13" x14ac:dyDescent="0.25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2:13" x14ac:dyDescent="0.25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</row>
    <row r="88" spans="2:13" x14ac:dyDescent="0.25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</row>
    <row r="89" spans="2:13" x14ac:dyDescent="0.25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</row>
    <row r="90" spans="2:13" x14ac:dyDescent="0.25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</row>
    <row r="91" spans="2:13" x14ac:dyDescent="0.25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</row>
    <row r="92" spans="2:13" x14ac:dyDescent="0.25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</row>
    <row r="93" spans="2:13" x14ac:dyDescent="0.25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</row>
    <row r="94" spans="2:13" x14ac:dyDescent="0.25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</row>
    <row r="95" spans="2:13" x14ac:dyDescent="0.25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2:13" x14ac:dyDescent="0.25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</row>
    <row r="97" spans="2:13" x14ac:dyDescent="0.25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2:13" x14ac:dyDescent="0.25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2:13" x14ac:dyDescent="0.25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</row>
    <row r="100" spans="2:13" x14ac:dyDescent="0.25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</row>
    <row r="101" spans="2:13" x14ac:dyDescent="0.25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</row>
    <row r="102" spans="2:13" x14ac:dyDescent="0.25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</row>
    <row r="103" spans="2:13" x14ac:dyDescent="0.25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</row>
  </sheetData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95"/>
  <sheetViews>
    <sheetView topLeftCell="A64" workbookViewId="0">
      <selection activeCell="O2" sqref="O2:O10"/>
    </sheetView>
  </sheetViews>
  <sheetFormatPr baseColWidth="10" defaultRowHeight="15" x14ac:dyDescent="0.25"/>
  <cols>
    <col min="7" max="8" width="15.140625" bestFit="1" customWidth="1"/>
    <col min="9" max="9" width="15.85546875" bestFit="1" customWidth="1"/>
  </cols>
  <sheetData>
    <row r="3" spans="2:2" x14ac:dyDescent="0.25">
      <c r="B3" s="19" t="s">
        <v>432</v>
      </c>
    </row>
    <row r="5" spans="2:2" x14ac:dyDescent="0.25">
      <c r="B5" s="19" t="s">
        <v>433</v>
      </c>
    </row>
    <row r="7" spans="2:2" x14ac:dyDescent="0.25">
      <c r="B7" t="s">
        <v>435</v>
      </c>
    </row>
    <row r="8" spans="2:2" x14ac:dyDescent="0.25">
      <c r="B8" t="s">
        <v>436</v>
      </c>
    </row>
    <row r="9" spans="2:2" x14ac:dyDescent="0.25">
      <c r="B9" t="s">
        <v>437</v>
      </c>
    </row>
    <row r="10" spans="2:2" x14ac:dyDescent="0.25">
      <c r="B10" t="s">
        <v>438</v>
      </c>
    </row>
    <row r="12" spans="2:2" x14ac:dyDescent="0.25">
      <c r="B12" t="s">
        <v>439</v>
      </c>
    </row>
    <row r="13" spans="2:2" x14ac:dyDescent="0.25">
      <c r="B13" t="s">
        <v>440</v>
      </c>
    </row>
    <row r="14" spans="2:2" x14ac:dyDescent="0.25">
      <c r="B14" t="s">
        <v>441</v>
      </c>
    </row>
    <row r="15" spans="2:2" x14ac:dyDescent="0.25">
      <c r="B15" t="s">
        <v>442</v>
      </c>
    </row>
    <row r="17" spans="2:2" x14ac:dyDescent="0.25">
      <c r="B17" t="s">
        <v>443</v>
      </c>
    </row>
    <row r="18" spans="2:2" x14ac:dyDescent="0.25">
      <c r="B18" t="s">
        <v>444</v>
      </c>
    </row>
    <row r="19" spans="2:2" x14ac:dyDescent="0.25">
      <c r="B19" t="s">
        <v>445</v>
      </c>
    </row>
    <row r="20" spans="2:2" x14ac:dyDescent="0.25">
      <c r="B20" t="s">
        <v>446</v>
      </c>
    </row>
    <row r="22" spans="2:2" x14ac:dyDescent="0.25">
      <c r="B22" t="s">
        <v>434</v>
      </c>
    </row>
    <row r="23" spans="2:2" x14ac:dyDescent="0.25">
      <c r="B23" t="s">
        <v>447</v>
      </c>
    </row>
    <row r="24" spans="2:2" x14ac:dyDescent="0.25">
      <c r="B24" t="s">
        <v>448</v>
      </c>
    </row>
    <row r="26" spans="2:2" x14ac:dyDescent="0.25">
      <c r="B26" t="s">
        <v>449</v>
      </c>
    </row>
    <row r="27" spans="2:2" x14ac:dyDescent="0.25">
      <c r="B27" t="s">
        <v>450</v>
      </c>
    </row>
    <row r="28" spans="2:2" x14ac:dyDescent="0.25">
      <c r="B28" t="s">
        <v>451</v>
      </c>
    </row>
    <row r="30" spans="2:2" x14ac:dyDescent="0.25">
      <c r="B30" t="s">
        <v>452</v>
      </c>
    </row>
    <row r="31" spans="2:2" x14ac:dyDescent="0.25">
      <c r="B31" t="s">
        <v>453</v>
      </c>
    </row>
    <row r="33" spans="2:2" x14ac:dyDescent="0.25">
      <c r="B33" t="s">
        <v>454</v>
      </c>
    </row>
    <row r="34" spans="2:2" x14ac:dyDescent="0.25">
      <c r="B34" t="s">
        <v>455</v>
      </c>
    </row>
    <row r="35" spans="2:2" x14ac:dyDescent="0.25">
      <c r="B35" t="s">
        <v>456</v>
      </c>
    </row>
    <row r="36" spans="2:2" x14ac:dyDescent="0.25">
      <c r="B36" t="s">
        <v>457</v>
      </c>
    </row>
    <row r="38" spans="2:2" x14ac:dyDescent="0.25">
      <c r="B38" t="s">
        <v>458</v>
      </c>
    </row>
    <row r="40" spans="2:2" x14ac:dyDescent="0.25">
      <c r="B40" t="s">
        <v>459</v>
      </c>
    </row>
    <row r="42" spans="2:2" x14ac:dyDescent="0.25">
      <c r="B42" t="s">
        <v>460</v>
      </c>
    </row>
    <row r="43" spans="2:2" x14ac:dyDescent="0.25">
      <c r="B43" t="s">
        <v>461</v>
      </c>
    </row>
    <row r="46" spans="2:2" x14ac:dyDescent="0.25">
      <c r="B46" s="19" t="s">
        <v>462</v>
      </c>
    </row>
    <row r="48" spans="2:2" x14ac:dyDescent="0.25">
      <c r="B48" t="s">
        <v>463</v>
      </c>
    </row>
    <row r="50" spans="2:2" x14ac:dyDescent="0.25">
      <c r="B50" t="s">
        <v>464</v>
      </c>
    </row>
    <row r="51" spans="2:2" x14ac:dyDescent="0.25">
      <c r="B51" t="s">
        <v>465</v>
      </c>
    </row>
    <row r="53" spans="2:2" x14ac:dyDescent="0.25">
      <c r="B53" t="s">
        <v>466</v>
      </c>
    </row>
    <row r="55" spans="2:2" x14ac:dyDescent="0.25">
      <c r="B55" s="19" t="s">
        <v>467</v>
      </c>
    </row>
    <row r="57" spans="2:2" x14ac:dyDescent="0.25">
      <c r="B57" t="s">
        <v>468</v>
      </c>
    </row>
    <row r="58" spans="2:2" x14ac:dyDescent="0.25">
      <c r="B58" t="s">
        <v>469</v>
      </c>
    </row>
    <row r="59" spans="2:2" x14ac:dyDescent="0.25">
      <c r="B59" t="s">
        <v>470</v>
      </c>
    </row>
    <row r="60" spans="2:2" x14ac:dyDescent="0.25">
      <c r="B60" t="s">
        <v>251</v>
      </c>
    </row>
    <row r="61" spans="2:2" x14ac:dyDescent="0.25">
      <c r="B61" t="s">
        <v>471</v>
      </c>
    </row>
    <row r="63" spans="2:2" x14ac:dyDescent="0.25">
      <c r="B63" t="s">
        <v>472</v>
      </c>
    </row>
    <row r="65" spans="2:2" x14ac:dyDescent="0.25">
      <c r="B65" t="s">
        <v>473</v>
      </c>
    </row>
    <row r="67" spans="2:2" x14ac:dyDescent="0.25">
      <c r="B67" t="s">
        <v>474</v>
      </c>
    </row>
    <row r="69" spans="2:2" x14ac:dyDescent="0.25">
      <c r="B69" t="s">
        <v>475</v>
      </c>
    </row>
    <row r="70" spans="2:2" x14ac:dyDescent="0.25">
      <c r="B70" t="s">
        <v>476</v>
      </c>
    </row>
    <row r="71" spans="2:2" x14ac:dyDescent="0.25">
      <c r="B71" t="s">
        <v>477</v>
      </c>
    </row>
    <row r="73" spans="2:2" x14ac:dyDescent="0.25">
      <c r="B73" t="s">
        <v>478</v>
      </c>
    </row>
    <row r="75" spans="2:2" x14ac:dyDescent="0.25">
      <c r="B75" t="s">
        <v>479</v>
      </c>
    </row>
    <row r="76" spans="2:2" x14ac:dyDescent="0.25">
      <c r="B76" t="s">
        <v>480</v>
      </c>
    </row>
    <row r="77" spans="2:2" x14ac:dyDescent="0.25">
      <c r="B77" t="s">
        <v>481</v>
      </c>
    </row>
    <row r="79" spans="2:2" x14ac:dyDescent="0.25">
      <c r="B79" t="s">
        <v>482</v>
      </c>
    </row>
    <row r="80" spans="2:2" x14ac:dyDescent="0.25">
      <c r="B80" t="s">
        <v>483</v>
      </c>
    </row>
    <row r="82" spans="2:6" x14ac:dyDescent="0.25">
      <c r="B82" t="s">
        <v>484</v>
      </c>
    </row>
    <row r="84" spans="2:6" x14ac:dyDescent="0.25">
      <c r="B84" t="s">
        <v>485</v>
      </c>
      <c r="F84" t="s">
        <v>192</v>
      </c>
    </row>
    <row r="85" spans="2:6" x14ac:dyDescent="0.25">
      <c r="B85" t="s">
        <v>486</v>
      </c>
      <c r="F85" t="s">
        <v>487</v>
      </c>
    </row>
    <row r="86" spans="2:6" x14ac:dyDescent="0.25">
      <c r="B86" t="s">
        <v>488</v>
      </c>
      <c r="F86" t="s">
        <v>489</v>
      </c>
    </row>
    <row r="89" spans="2:6" x14ac:dyDescent="0.25">
      <c r="B89" s="19" t="s">
        <v>490</v>
      </c>
    </row>
    <row r="91" spans="2:6" x14ac:dyDescent="0.25">
      <c r="B91" t="s">
        <v>491</v>
      </c>
    </row>
    <row r="92" spans="2:6" x14ac:dyDescent="0.25">
      <c r="B92" t="s">
        <v>492</v>
      </c>
    </row>
    <row r="94" spans="2:6" x14ac:dyDescent="0.25">
      <c r="B94" t="s">
        <v>494</v>
      </c>
    </row>
    <row r="95" spans="2:6" x14ac:dyDescent="0.25">
      <c r="B95" t="s">
        <v>495</v>
      </c>
    </row>
    <row r="96" spans="2:6" x14ac:dyDescent="0.25">
      <c r="B96" t="s">
        <v>493</v>
      </c>
    </row>
    <row r="98" spans="2:2" x14ac:dyDescent="0.25">
      <c r="B98" t="s">
        <v>496</v>
      </c>
    </row>
    <row r="99" spans="2:2" x14ac:dyDescent="0.25">
      <c r="B99" t="s">
        <v>497</v>
      </c>
    </row>
    <row r="100" spans="2:2" x14ac:dyDescent="0.25">
      <c r="B100" t="s">
        <v>498</v>
      </c>
    </row>
    <row r="102" spans="2:2" x14ac:dyDescent="0.25">
      <c r="B102" t="s">
        <v>499</v>
      </c>
    </row>
    <row r="105" spans="2:2" x14ac:dyDescent="0.25">
      <c r="B105" s="19" t="s">
        <v>500</v>
      </c>
    </row>
    <row r="107" spans="2:2" x14ac:dyDescent="0.25">
      <c r="B107" t="s">
        <v>501</v>
      </c>
    </row>
    <row r="109" spans="2:2" x14ac:dyDescent="0.25">
      <c r="B109" s="19" t="s">
        <v>502</v>
      </c>
    </row>
    <row r="111" spans="2:2" x14ac:dyDescent="0.25">
      <c r="B111" t="s">
        <v>503</v>
      </c>
    </row>
    <row r="112" spans="2:2" x14ac:dyDescent="0.25">
      <c r="B112" t="s">
        <v>510</v>
      </c>
    </row>
    <row r="113" spans="2:2" x14ac:dyDescent="0.25">
      <c r="B113" t="s">
        <v>504</v>
      </c>
    </row>
    <row r="115" spans="2:2" x14ac:dyDescent="0.25">
      <c r="B115" t="s">
        <v>505</v>
      </c>
    </row>
    <row r="117" spans="2:2" x14ac:dyDescent="0.25">
      <c r="B117" s="19" t="s">
        <v>506</v>
      </c>
    </row>
    <row r="119" spans="2:2" x14ac:dyDescent="0.25">
      <c r="B119" t="s">
        <v>507</v>
      </c>
    </row>
    <row r="120" spans="2:2" x14ac:dyDescent="0.25">
      <c r="B120" t="s">
        <v>508</v>
      </c>
    </row>
    <row r="121" spans="2:2" x14ac:dyDescent="0.25">
      <c r="B121" t="s">
        <v>509</v>
      </c>
    </row>
    <row r="123" spans="2:2" x14ac:dyDescent="0.25">
      <c r="B123" s="19" t="s">
        <v>511</v>
      </c>
    </row>
    <row r="125" spans="2:2" x14ac:dyDescent="0.25">
      <c r="B125" t="s">
        <v>512</v>
      </c>
    </row>
    <row r="126" spans="2:2" x14ac:dyDescent="0.25">
      <c r="B126" t="s">
        <v>513</v>
      </c>
    </row>
    <row r="127" spans="2:2" x14ac:dyDescent="0.25">
      <c r="B127" t="s">
        <v>514</v>
      </c>
    </row>
    <row r="129" spans="2:2" x14ac:dyDescent="0.25">
      <c r="B129" s="19" t="s">
        <v>515</v>
      </c>
    </row>
    <row r="131" spans="2:2" x14ac:dyDescent="0.25">
      <c r="B131" t="s">
        <v>516</v>
      </c>
    </row>
    <row r="132" spans="2:2" x14ac:dyDescent="0.25">
      <c r="B132" t="s">
        <v>517</v>
      </c>
    </row>
    <row r="134" spans="2:2" x14ac:dyDescent="0.25">
      <c r="B134" t="s">
        <v>518</v>
      </c>
    </row>
    <row r="135" spans="2:2" x14ac:dyDescent="0.25">
      <c r="B135" t="s">
        <v>519</v>
      </c>
    </row>
    <row r="137" spans="2:2" x14ac:dyDescent="0.25">
      <c r="B137" t="s">
        <v>520</v>
      </c>
    </row>
    <row r="138" spans="2:2" x14ac:dyDescent="0.25">
      <c r="B138" t="s">
        <v>521</v>
      </c>
    </row>
    <row r="140" spans="2:2" x14ac:dyDescent="0.25">
      <c r="B140" t="s">
        <v>522</v>
      </c>
    </row>
    <row r="142" spans="2:2" x14ac:dyDescent="0.25">
      <c r="B142" t="s">
        <v>523</v>
      </c>
    </row>
    <row r="144" spans="2:2" x14ac:dyDescent="0.25">
      <c r="B144" t="s">
        <v>524</v>
      </c>
    </row>
    <row r="145" spans="2:2" x14ac:dyDescent="0.25">
      <c r="B145" t="s">
        <v>525</v>
      </c>
    </row>
    <row r="147" spans="2:2" x14ac:dyDescent="0.25">
      <c r="B147" t="s">
        <v>526</v>
      </c>
    </row>
    <row r="149" spans="2:2" x14ac:dyDescent="0.25">
      <c r="B149" t="s">
        <v>527</v>
      </c>
    </row>
    <row r="150" spans="2:2" x14ac:dyDescent="0.25">
      <c r="B150" t="s">
        <v>528</v>
      </c>
    </row>
    <row r="151" spans="2:2" x14ac:dyDescent="0.25">
      <c r="B151" t="s">
        <v>529</v>
      </c>
    </row>
    <row r="153" spans="2:2" x14ac:dyDescent="0.25">
      <c r="B153" t="s">
        <v>530</v>
      </c>
    </row>
    <row r="154" spans="2:2" x14ac:dyDescent="0.25">
      <c r="B154" t="s">
        <v>531</v>
      </c>
    </row>
    <row r="157" spans="2:2" x14ac:dyDescent="0.25">
      <c r="B157" s="19" t="s">
        <v>532</v>
      </c>
    </row>
    <row r="159" spans="2:2" x14ac:dyDescent="0.25">
      <c r="B159" t="s">
        <v>533</v>
      </c>
    </row>
    <row r="160" spans="2:2" x14ac:dyDescent="0.25">
      <c r="B160" t="s">
        <v>534</v>
      </c>
    </row>
    <row r="163" spans="2:2" x14ac:dyDescent="0.25">
      <c r="B163" s="19" t="s">
        <v>535</v>
      </c>
    </row>
    <row r="165" spans="2:2" x14ac:dyDescent="0.25">
      <c r="B165" t="s">
        <v>536</v>
      </c>
    </row>
    <row r="166" spans="2:2" x14ac:dyDescent="0.25">
      <c r="B166" t="s">
        <v>537</v>
      </c>
    </row>
    <row r="168" spans="2:2" x14ac:dyDescent="0.25">
      <c r="B168" s="19" t="s">
        <v>251</v>
      </c>
    </row>
    <row r="169" spans="2:2" x14ac:dyDescent="0.25">
      <c r="B169" s="19" t="s">
        <v>538</v>
      </c>
    </row>
    <row r="171" spans="2:2" x14ac:dyDescent="0.25">
      <c r="B171" t="s">
        <v>539</v>
      </c>
    </row>
    <row r="172" spans="2:2" x14ac:dyDescent="0.25">
      <c r="B172" t="s">
        <v>541</v>
      </c>
    </row>
    <row r="173" spans="2:2" x14ac:dyDescent="0.25">
      <c r="B173" t="s">
        <v>540</v>
      </c>
    </row>
    <row r="175" spans="2:2" x14ac:dyDescent="0.25">
      <c r="B175" s="19" t="s">
        <v>542</v>
      </c>
    </row>
    <row r="177" spans="2:2" x14ac:dyDescent="0.25">
      <c r="B177" t="s">
        <v>543</v>
      </c>
    </row>
    <row r="178" spans="2:2" x14ac:dyDescent="0.25">
      <c r="B178" t="s">
        <v>544</v>
      </c>
    </row>
    <row r="180" spans="2:2" x14ac:dyDescent="0.25">
      <c r="B180" t="s">
        <v>545</v>
      </c>
    </row>
    <row r="181" spans="2:2" x14ac:dyDescent="0.25">
      <c r="B181" t="s">
        <v>546</v>
      </c>
    </row>
    <row r="183" spans="2:2" x14ac:dyDescent="0.25">
      <c r="B183" s="19" t="s">
        <v>547</v>
      </c>
    </row>
    <row r="185" spans="2:2" x14ac:dyDescent="0.25">
      <c r="B185" t="s">
        <v>548</v>
      </c>
    </row>
    <row r="186" spans="2:2" x14ac:dyDescent="0.25">
      <c r="B186" t="s">
        <v>549</v>
      </c>
    </row>
    <row r="189" spans="2:2" x14ac:dyDescent="0.25">
      <c r="B189" s="19" t="s">
        <v>550</v>
      </c>
    </row>
    <row r="191" spans="2:2" x14ac:dyDescent="0.25">
      <c r="B191" t="s">
        <v>551</v>
      </c>
    </row>
    <row r="192" spans="2:2" x14ac:dyDescent="0.25">
      <c r="B192" t="s">
        <v>552</v>
      </c>
    </row>
    <row r="193" spans="2:2" x14ac:dyDescent="0.25">
      <c r="B193" t="s">
        <v>553</v>
      </c>
    </row>
    <row r="195" spans="2:2" x14ac:dyDescent="0.25">
      <c r="B195" t="s">
        <v>554</v>
      </c>
    </row>
    <row r="196" spans="2:2" x14ac:dyDescent="0.25">
      <c r="B196" t="s">
        <v>555</v>
      </c>
    </row>
    <row r="199" spans="2:2" x14ac:dyDescent="0.25">
      <c r="B199" s="19" t="s">
        <v>556</v>
      </c>
    </row>
    <row r="201" spans="2:2" x14ac:dyDescent="0.25">
      <c r="B201" t="s">
        <v>557</v>
      </c>
    </row>
    <row r="202" spans="2:2" x14ac:dyDescent="0.25">
      <c r="B202" t="s">
        <v>558</v>
      </c>
    </row>
    <row r="203" spans="2:2" x14ac:dyDescent="0.25">
      <c r="B203" t="s">
        <v>559</v>
      </c>
    </row>
    <row r="205" spans="2:2" x14ac:dyDescent="0.25">
      <c r="B205" t="s">
        <v>560</v>
      </c>
    </row>
    <row r="206" spans="2:2" x14ac:dyDescent="0.25">
      <c r="B206" t="s">
        <v>561</v>
      </c>
    </row>
    <row r="208" spans="2:2" x14ac:dyDescent="0.25">
      <c r="B208" t="s">
        <v>562</v>
      </c>
    </row>
    <row r="209" spans="2:3" x14ac:dyDescent="0.25">
      <c r="B209" t="s">
        <v>563</v>
      </c>
    </row>
    <row r="211" spans="2:3" x14ac:dyDescent="0.25">
      <c r="B211" t="s">
        <v>564</v>
      </c>
    </row>
    <row r="213" spans="2:3" x14ac:dyDescent="0.25">
      <c r="B213" t="s">
        <v>565</v>
      </c>
    </row>
    <row r="214" spans="2:3" x14ac:dyDescent="0.25">
      <c r="B214" t="s">
        <v>566</v>
      </c>
    </row>
    <row r="216" spans="2:3" x14ac:dyDescent="0.25">
      <c r="B216" t="s">
        <v>567</v>
      </c>
    </row>
    <row r="217" spans="2:3" x14ac:dyDescent="0.25">
      <c r="B217" t="s">
        <v>568</v>
      </c>
    </row>
    <row r="219" spans="2:3" x14ac:dyDescent="0.25">
      <c r="B219" t="s">
        <v>569</v>
      </c>
    </row>
    <row r="220" spans="2:3" x14ac:dyDescent="0.25">
      <c r="B220" t="s">
        <v>570</v>
      </c>
    </row>
    <row r="221" spans="2:3" x14ac:dyDescent="0.25">
      <c r="B221" t="s">
        <v>571</v>
      </c>
    </row>
    <row r="222" spans="2:3" x14ac:dyDescent="0.25">
      <c r="B222" t="s">
        <v>572</v>
      </c>
    </row>
    <row r="224" spans="2:3" x14ac:dyDescent="0.25">
      <c r="B224" s="19" t="s">
        <v>573</v>
      </c>
      <c r="C224" s="19"/>
    </row>
    <row r="226" spans="2:2" x14ac:dyDescent="0.25">
      <c r="B226" t="s">
        <v>578</v>
      </c>
    </row>
    <row r="227" spans="2:2" x14ac:dyDescent="0.25">
      <c r="B227" t="s">
        <v>574</v>
      </c>
    </row>
    <row r="229" spans="2:2" x14ac:dyDescent="0.25">
      <c r="B229" t="s">
        <v>575</v>
      </c>
    </row>
    <row r="232" spans="2:2" x14ac:dyDescent="0.25">
      <c r="B232" s="19" t="s">
        <v>576</v>
      </c>
    </row>
    <row r="234" spans="2:2" x14ac:dyDescent="0.25">
      <c r="B234" t="s">
        <v>577</v>
      </c>
    </row>
    <row r="235" spans="2:2" x14ac:dyDescent="0.25">
      <c r="B235" t="s">
        <v>579</v>
      </c>
    </row>
    <row r="237" spans="2:2" x14ac:dyDescent="0.25">
      <c r="B237" t="s">
        <v>580</v>
      </c>
    </row>
    <row r="238" spans="2:2" x14ac:dyDescent="0.25">
      <c r="B238" t="s">
        <v>581</v>
      </c>
    </row>
    <row r="240" spans="2:2" x14ac:dyDescent="0.25">
      <c r="B240" t="s">
        <v>582</v>
      </c>
    </row>
    <row r="241" spans="2:2" x14ac:dyDescent="0.25">
      <c r="B241" t="s">
        <v>583</v>
      </c>
    </row>
    <row r="243" spans="2:2" x14ac:dyDescent="0.25">
      <c r="B243" t="s">
        <v>584</v>
      </c>
    </row>
    <row r="244" spans="2:2" x14ac:dyDescent="0.25">
      <c r="B244" t="s">
        <v>585</v>
      </c>
    </row>
    <row r="247" spans="2:2" x14ac:dyDescent="0.25">
      <c r="B247" s="19" t="s">
        <v>586</v>
      </c>
    </row>
    <row r="249" spans="2:2" x14ac:dyDescent="0.25">
      <c r="B249" s="19" t="s">
        <v>587</v>
      </c>
    </row>
    <row r="251" spans="2:2" x14ac:dyDescent="0.25">
      <c r="B251" t="s">
        <v>588</v>
      </c>
    </row>
    <row r="252" spans="2:2" x14ac:dyDescent="0.25">
      <c r="B252" t="s">
        <v>589</v>
      </c>
    </row>
    <row r="254" spans="2:2" x14ac:dyDescent="0.25">
      <c r="B254" t="s">
        <v>590</v>
      </c>
    </row>
    <row r="255" spans="2:2" x14ac:dyDescent="0.25">
      <c r="B255" t="s">
        <v>591</v>
      </c>
    </row>
    <row r="256" spans="2:2" x14ac:dyDescent="0.25">
      <c r="B256" t="s">
        <v>592</v>
      </c>
    </row>
    <row r="258" spans="2:2" x14ac:dyDescent="0.25">
      <c r="B258" t="s">
        <v>593</v>
      </c>
    </row>
    <row r="259" spans="2:2" x14ac:dyDescent="0.25">
      <c r="B259" t="s">
        <v>595</v>
      </c>
    </row>
    <row r="260" spans="2:2" x14ac:dyDescent="0.25">
      <c r="B260" t="s">
        <v>594</v>
      </c>
    </row>
    <row r="263" spans="2:2" x14ac:dyDescent="0.25">
      <c r="B263" s="19" t="s">
        <v>596</v>
      </c>
    </row>
    <row r="265" spans="2:2" x14ac:dyDescent="0.25">
      <c r="B265" t="s">
        <v>597</v>
      </c>
    </row>
    <row r="268" spans="2:2" x14ac:dyDescent="0.25">
      <c r="B268" s="19" t="s">
        <v>598</v>
      </c>
    </row>
    <row r="270" spans="2:2" x14ac:dyDescent="0.25">
      <c r="B270" t="s">
        <v>599</v>
      </c>
    </row>
    <row r="271" spans="2:2" x14ac:dyDescent="0.25">
      <c r="B271" t="s">
        <v>600</v>
      </c>
    </row>
    <row r="274" spans="2:2" x14ac:dyDescent="0.25">
      <c r="B274" s="19" t="s">
        <v>601</v>
      </c>
    </row>
    <row r="276" spans="2:2" x14ac:dyDescent="0.25">
      <c r="B276" t="s">
        <v>602</v>
      </c>
    </row>
    <row r="277" spans="2:2" x14ac:dyDescent="0.25">
      <c r="B277" t="s">
        <v>603</v>
      </c>
    </row>
    <row r="278" spans="2:2" x14ac:dyDescent="0.25">
      <c r="B278" t="s">
        <v>604</v>
      </c>
    </row>
    <row r="279" spans="2:2" x14ac:dyDescent="0.25">
      <c r="B279" t="s">
        <v>605</v>
      </c>
    </row>
    <row r="280" spans="2:2" x14ac:dyDescent="0.25">
      <c r="B280" t="s">
        <v>606</v>
      </c>
    </row>
    <row r="281" spans="2:2" x14ac:dyDescent="0.25">
      <c r="B281" t="s">
        <v>607</v>
      </c>
    </row>
    <row r="283" spans="2:2" x14ac:dyDescent="0.25">
      <c r="B283" t="s">
        <v>608</v>
      </c>
    </row>
    <row r="284" spans="2:2" x14ac:dyDescent="0.25">
      <c r="B284" t="s">
        <v>609</v>
      </c>
    </row>
    <row r="286" spans="2:2" x14ac:dyDescent="0.25">
      <c r="B286" t="s">
        <v>610</v>
      </c>
    </row>
    <row r="287" spans="2:2" x14ac:dyDescent="0.25">
      <c r="B287" t="s">
        <v>611</v>
      </c>
    </row>
    <row r="289" spans="1:2" x14ac:dyDescent="0.25">
      <c r="B289" t="s">
        <v>612</v>
      </c>
    </row>
    <row r="290" spans="1:2" x14ac:dyDescent="0.25">
      <c r="B290" t="s">
        <v>613</v>
      </c>
    </row>
    <row r="293" spans="1:2" x14ac:dyDescent="0.25">
      <c r="B293" s="19" t="s">
        <v>614</v>
      </c>
    </row>
    <row r="295" spans="1:2" x14ac:dyDescent="0.25">
      <c r="A295" t="s">
        <v>251</v>
      </c>
      <c r="B295" t="s">
        <v>615</v>
      </c>
    </row>
    <row r="296" spans="1:2" x14ac:dyDescent="0.25">
      <c r="A296" t="s">
        <v>251</v>
      </c>
      <c r="B296" t="s">
        <v>616</v>
      </c>
    </row>
    <row r="299" spans="1:2" x14ac:dyDescent="0.25">
      <c r="B299" s="19" t="s">
        <v>617</v>
      </c>
    </row>
    <row r="301" spans="1:2" x14ac:dyDescent="0.25">
      <c r="B301" t="s">
        <v>618</v>
      </c>
    </row>
    <row r="302" spans="1:2" x14ac:dyDescent="0.25">
      <c r="B302" t="s">
        <v>619</v>
      </c>
    </row>
    <row r="305" spans="2:9" x14ac:dyDescent="0.25">
      <c r="B305" s="19" t="s">
        <v>620</v>
      </c>
    </row>
    <row r="307" spans="2:9" x14ac:dyDescent="0.25">
      <c r="B307" t="s">
        <v>621</v>
      </c>
    </row>
    <row r="308" spans="2:9" x14ac:dyDescent="0.25">
      <c r="B308" t="s">
        <v>622</v>
      </c>
    </row>
    <row r="309" spans="2:9" x14ac:dyDescent="0.25">
      <c r="B309" t="s">
        <v>623</v>
      </c>
    </row>
    <row r="314" spans="2:9" x14ac:dyDescent="0.25">
      <c r="B314" s="204" t="s">
        <v>198</v>
      </c>
      <c r="C314" s="204"/>
      <c r="D314" s="204"/>
      <c r="E314" s="204"/>
      <c r="F314" s="204"/>
      <c r="G314" s="92"/>
      <c r="H314" s="92"/>
      <c r="I314" s="92"/>
    </row>
    <row r="315" spans="2:9" x14ac:dyDescent="0.25">
      <c r="B315" s="204" t="s">
        <v>199</v>
      </c>
      <c r="C315" s="204"/>
      <c r="D315" s="204"/>
      <c r="E315" s="204"/>
      <c r="F315" s="204"/>
      <c r="G315" s="92"/>
      <c r="H315" s="92"/>
      <c r="I315" s="92"/>
    </row>
    <row r="316" spans="2:9" x14ac:dyDescent="0.25">
      <c r="B316" s="204" t="s">
        <v>200</v>
      </c>
      <c r="C316" s="204"/>
      <c r="D316" s="204"/>
      <c r="E316" s="204"/>
      <c r="F316" s="204"/>
      <c r="G316" s="92"/>
      <c r="H316" s="92"/>
      <c r="I316" s="92"/>
    </row>
    <row r="317" spans="2:9" x14ac:dyDescent="0.25">
      <c r="B317" s="205" t="s">
        <v>152</v>
      </c>
      <c r="C317" s="205"/>
      <c r="D317" s="205"/>
      <c r="E317" s="205"/>
      <c r="F317" s="205"/>
      <c r="G317" s="92"/>
      <c r="H317" s="92"/>
      <c r="I317" s="92"/>
    </row>
    <row r="318" spans="2:9" x14ac:dyDescent="0.25">
      <c r="B318" s="204" t="s">
        <v>242</v>
      </c>
      <c r="C318" s="204"/>
      <c r="D318" s="204"/>
      <c r="E318" s="204"/>
      <c r="F318" s="204"/>
      <c r="G318" s="92"/>
      <c r="H318" s="92"/>
      <c r="I318" s="92"/>
    </row>
    <row r="319" spans="2:9" x14ac:dyDescent="0.25">
      <c r="B319" s="204" t="s">
        <v>283</v>
      </c>
      <c r="C319" s="204"/>
      <c r="D319" s="204"/>
      <c r="E319" s="204"/>
      <c r="F319" s="204"/>
      <c r="G319" s="92"/>
      <c r="H319" s="92"/>
      <c r="I319" s="92"/>
    </row>
    <row r="320" spans="2:9" x14ac:dyDescent="0.25">
      <c r="B320" s="204" t="s">
        <v>153</v>
      </c>
      <c r="C320" s="204"/>
      <c r="D320" s="204"/>
      <c r="E320" s="204"/>
      <c r="F320" s="204"/>
      <c r="G320" s="92"/>
      <c r="H320" s="92"/>
      <c r="I320" s="92"/>
    </row>
    <row r="323" spans="2:11" x14ac:dyDescent="0.25">
      <c r="B323" s="19" t="s">
        <v>298</v>
      </c>
    </row>
    <row r="325" spans="2:11" x14ac:dyDescent="0.25">
      <c r="B325" s="19" t="s">
        <v>296</v>
      </c>
    </row>
    <row r="327" spans="2:11" x14ac:dyDescent="0.25">
      <c r="B327" t="s">
        <v>297</v>
      </c>
    </row>
    <row r="329" spans="2:11" x14ac:dyDescent="0.25">
      <c r="B329" s="19" t="s">
        <v>12</v>
      </c>
      <c r="G329" s="135">
        <v>2020</v>
      </c>
      <c r="H329" s="137">
        <v>2019</v>
      </c>
      <c r="I329" s="137" t="s">
        <v>299</v>
      </c>
      <c r="J329" s="139" t="s">
        <v>300</v>
      </c>
      <c r="K329" s="196"/>
    </row>
    <row r="330" spans="2:11" x14ac:dyDescent="0.25">
      <c r="B330" t="s">
        <v>13</v>
      </c>
      <c r="G330" s="21">
        <v>318747359.63</v>
      </c>
      <c r="H330" s="21">
        <v>282971846.04000002</v>
      </c>
      <c r="I330" s="112">
        <f>G330-H330</f>
        <v>35775513.589999974</v>
      </c>
      <c r="J330" s="144">
        <f>I330/G330</f>
        <v>0.11223783510403967</v>
      </c>
      <c r="K330" s="197"/>
    </row>
    <row r="331" spans="2:11" x14ac:dyDescent="0.25">
      <c r="B331" t="s">
        <v>301</v>
      </c>
      <c r="G331" s="21">
        <v>8632756.0600000005</v>
      </c>
      <c r="H331" s="21">
        <v>15851710.27</v>
      </c>
      <c r="I331" s="112">
        <f t="shared" ref="I331:I334" si="0">G331-H331</f>
        <v>-7218954.209999999</v>
      </c>
      <c r="J331" s="144">
        <f t="shared" ref="J331:J334" si="1">I331/G331</f>
        <v>-0.83622821724908081</v>
      </c>
      <c r="K331" s="197"/>
    </row>
    <row r="332" spans="2:11" x14ac:dyDescent="0.25">
      <c r="B332" t="s">
        <v>302</v>
      </c>
      <c r="G332" s="21">
        <v>10673229.33</v>
      </c>
      <c r="H332" s="21">
        <v>5752813.4400000004</v>
      </c>
      <c r="I332" s="112">
        <f t="shared" si="0"/>
        <v>4920415.8899999997</v>
      </c>
      <c r="J332" s="144">
        <f t="shared" si="1"/>
        <v>0.46100535628610911</v>
      </c>
      <c r="K332" s="197"/>
    </row>
    <row r="333" spans="2:11" x14ac:dyDescent="0.25">
      <c r="B333" t="s">
        <v>305</v>
      </c>
      <c r="G333" s="21">
        <v>0</v>
      </c>
      <c r="H333" s="21">
        <v>4000</v>
      </c>
      <c r="I333" s="112">
        <f t="shared" si="0"/>
        <v>-4000</v>
      </c>
      <c r="J333" s="144" t="e">
        <f t="shared" si="1"/>
        <v>#DIV/0!</v>
      </c>
      <c r="K333" s="198"/>
    </row>
    <row r="334" spans="2:11" x14ac:dyDescent="0.25">
      <c r="B334" s="82" t="s">
        <v>304</v>
      </c>
      <c r="F334" t="s">
        <v>303</v>
      </c>
      <c r="G334" s="142">
        <v>10000</v>
      </c>
      <c r="H334" s="142">
        <v>6000</v>
      </c>
      <c r="I334" s="112">
        <f t="shared" si="0"/>
        <v>4000</v>
      </c>
      <c r="J334" s="144">
        <f t="shared" si="1"/>
        <v>0.4</v>
      </c>
      <c r="K334" s="145"/>
    </row>
    <row r="335" spans="2:11" x14ac:dyDescent="0.25">
      <c r="B335" s="19" t="s">
        <v>17</v>
      </c>
      <c r="C335" s="19"/>
      <c r="D335" s="19"/>
      <c r="E335" s="19"/>
      <c r="F335" s="19"/>
      <c r="G335" s="140">
        <f>SUM(G330:G334)</f>
        <v>338063345.01999998</v>
      </c>
      <c r="H335" s="141">
        <f>SUM(H330:H334)</f>
        <v>304586369.75</v>
      </c>
      <c r="I335" s="141">
        <f>G335-H335</f>
        <v>33476975.269999981</v>
      </c>
      <c r="J335" s="146">
        <f>I335/G335</f>
        <v>9.9025746988391977E-2</v>
      </c>
      <c r="K335" s="198"/>
    </row>
    <row r="338" spans="2:11" x14ac:dyDescent="0.25">
      <c r="B338" t="s">
        <v>635</v>
      </c>
    </row>
    <row r="339" spans="2:11" x14ac:dyDescent="0.25">
      <c r="B339" t="s">
        <v>308</v>
      </c>
    </row>
    <row r="342" spans="2:11" x14ac:dyDescent="0.25">
      <c r="B342" s="19" t="s">
        <v>309</v>
      </c>
    </row>
    <row r="344" spans="2:11" x14ac:dyDescent="0.25">
      <c r="B344" s="19" t="s">
        <v>310</v>
      </c>
    </row>
    <row r="346" spans="2:11" x14ac:dyDescent="0.25">
      <c r="B346" s="19" t="s">
        <v>12</v>
      </c>
      <c r="G346" s="135">
        <v>2020</v>
      </c>
      <c r="H346" s="136"/>
      <c r="I346" s="137">
        <v>2019</v>
      </c>
      <c r="J346" s="137" t="s">
        <v>299</v>
      </c>
      <c r="K346" s="147" t="s">
        <v>300</v>
      </c>
    </row>
    <row r="347" spans="2:11" x14ac:dyDescent="0.25">
      <c r="B347" t="s">
        <v>311</v>
      </c>
      <c r="G347" s="3">
        <v>202401003.58000001</v>
      </c>
      <c r="I347" s="21">
        <v>272953389.07999998</v>
      </c>
      <c r="J347" s="21">
        <f>G347-I347</f>
        <v>-70552385.49999997</v>
      </c>
      <c r="K347" s="79">
        <f>J347/G347</f>
        <v>-0.34857725135791523</v>
      </c>
    </row>
    <row r="348" spans="2:11" x14ac:dyDescent="0.25">
      <c r="B348" s="82" t="s">
        <v>20</v>
      </c>
      <c r="G348" s="3">
        <v>8349073.6500000004</v>
      </c>
      <c r="H348" t="s">
        <v>251</v>
      </c>
      <c r="I348" s="21">
        <v>7624327.5300000003</v>
      </c>
      <c r="J348" s="21">
        <f t="shared" ref="J348:J350" si="2">G348-I348</f>
        <v>724746.12000000011</v>
      </c>
      <c r="K348" s="79">
        <f t="shared" ref="K348:K350" si="3">J348/G348</f>
        <v>8.6805572735605241E-2</v>
      </c>
    </row>
    <row r="349" spans="2:11" x14ac:dyDescent="0.25">
      <c r="B349" t="s">
        <v>322</v>
      </c>
      <c r="G349" s="8">
        <v>56421.09</v>
      </c>
      <c r="I349" s="21">
        <v>9449746.6699999999</v>
      </c>
      <c r="J349" s="21">
        <f t="shared" si="2"/>
        <v>-9393325.5800000001</v>
      </c>
      <c r="K349" s="79">
        <f>J349/G349</f>
        <v>-166.48607072284497</v>
      </c>
    </row>
    <row r="350" spans="2:11" x14ac:dyDescent="0.25">
      <c r="B350" s="19" t="s">
        <v>312</v>
      </c>
      <c r="G350" s="140">
        <f>SUM(G347:G349)</f>
        <v>210806498.32000002</v>
      </c>
      <c r="H350" s="138"/>
      <c r="I350" s="141">
        <f>SUM(I347:I349)</f>
        <v>290027463.27999997</v>
      </c>
      <c r="J350" s="141">
        <f t="shared" si="2"/>
        <v>-79220964.959999949</v>
      </c>
      <c r="K350" s="148">
        <f t="shared" si="3"/>
        <v>-0.375799444473216</v>
      </c>
    </row>
    <row r="351" spans="2:11" x14ac:dyDescent="0.25">
      <c r="G351" s="21"/>
      <c r="I351" s="21"/>
      <c r="J351" s="21"/>
      <c r="K351" s="21"/>
    </row>
    <row r="352" spans="2:11" x14ac:dyDescent="0.25">
      <c r="G352" s="21"/>
      <c r="I352" s="21"/>
      <c r="J352" s="21"/>
      <c r="K352" s="21"/>
    </row>
    <row r="353" spans="2:11" x14ac:dyDescent="0.25">
      <c r="G353" s="21"/>
      <c r="I353" s="21"/>
      <c r="J353" s="21"/>
      <c r="K353" s="21"/>
    </row>
    <row r="354" spans="2:11" x14ac:dyDescent="0.25">
      <c r="B354" t="s">
        <v>313</v>
      </c>
      <c r="G354" s="21"/>
    </row>
    <row r="355" spans="2:11" x14ac:dyDescent="0.25">
      <c r="B355" t="s">
        <v>314</v>
      </c>
    </row>
    <row r="358" spans="2:11" x14ac:dyDescent="0.25">
      <c r="B358" s="19" t="s">
        <v>315</v>
      </c>
    </row>
    <row r="360" spans="2:11" x14ac:dyDescent="0.25">
      <c r="B360" s="19" t="s">
        <v>316</v>
      </c>
    </row>
    <row r="361" spans="2:11" x14ac:dyDescent="0.25">
      <c r="G361" s="135">
        <v>2020</v>
      </c>
      <c r="H361" s="136"/>
      <c r="I361" s="137">
        <v>2019</v>
      </c>
      <c r="J361" s="137" t="s">
        <v>299</v>
      </c>
      <c r="K361" s="147" t="s">
        <v>300</v>
      </c>
    </row>
    <row r="362" spans="2:11" x14ac:dyDescent="0.25">
      <c r="B362" s="6" t="s">
        <v>23</v>
      </c>
      <c r="G362" s="3">
        <v>30454997.039999999</v>
      </c>
      <c r="I362" s="21">
        <v>76372858.049999997</v>
      </c>
      <c r="J362" s="18">
        <f>G362-I362</f>
        <v>-45917861.009999998</v>
      </c>
      <c r="K362" s="79">
        <f>J362/G362</f>
        <v>-1.5077283031645305</v>
      </c>
    </row>
    <row r="363" spans="2:11" x14ac:dyDescent="0.25">
      <c r="B363" s="6" t="s">
        <v>182</v>
      </c>
      <c r="G363" s="3">
        <v>17828505.039999999</v>
      </c>
      <c r="I363" s="21">
        <v>27017050.98</v>
      </c>
      <c r="J363" s="18">
        <f t="shared" ref="J363:J384" si="4">G363-I363</f>
        <v>-9188545.9400000013</v>
      </c>
      <c r="K363" s="79">
        <f t="shared" ref="K363:K384" si="5">J363/G363</f>
        <v>-0.51538510488594513</v>
      </c>
    </row>
    <row r="364" spans="2:11" x14ac:dyDescent="0.25">
      <c r="B364" s="6" t="s">
        <v>24</v>
      </c>
      <c r="G364" s="3">
        <v>0</v>
      </c>
      <c r="I364" s="21">
        <v>19276076.010000002</v>
      </c>
      <c r="J364" s="18">
        <f t="shared" si="4"/>
        <v>-19276076.010000002</v>
      </c>
      <c r="K364" s="79" t="e">
        <f t="shared" si="5"/>
        <v>#DIV/0!</v>
      </c>
    </row>
    <row r="365" spans="2:11" x14ac:dyDescent="0.25">
      <c r="B365" s="6" t="s">
        <v>25</v>
      </c>
      <c r="G365" s="3">
        <v>40069567.899999999</v>
      </c>
      <c r="I365" s="21">
        <v>40735184.340000004</v>
      </c>
      <c r="J365" s="18">
        <f t="shared" si="4"/>
        <v>-665616.44000000507</v>
      </c>
      <c r="K365" s="79">
        <f t="shared" si="5"/>
        <v>-1.6611520285448475E-2</v>
      </c>
    </row>
    <row r="366" spans="2:11" x14ac:dyDescent="0.25">
      <c r="B366" s="6" t="s">
        <v>26</v>
      </c>
      <c r="G366" s="50">
        <v>31680449.289999999</v>
      </c>
      <c r="I366" s="21">
        <v>26887888.239999998</v>
      </c>
      <c r="J366" s="18">
        <f t="shared" si="4"/>
        <v>4792561.0500000007</v>
      </c>
      <c r="K366" s="79">
        <f t="shared" si="5"/>
        <v>0.15127819072669474</v>
      </c>
    </row>
    <row r="367" spans="2:11" x14ac:dyDescent="0.25">
      <c r="B367" s="6" t="s">
        <v>27</v>
      </c>
      <c r="G367" s="3">
        <v>16154281.75</v>
      </c>
      <c r="I367" s="21">
        <v>18926588.609999999</v>
      </c>
      <c r="J367" s="18">
        <f t="shared" si="4"/>
        <v>-2772306.8599999994</v>
      </c>
      <c r="K367" s="79">
        <f t="shared" si="5"/>
        <v>-0.17161436843207217</v>
      </c>
    </row>
    <row r="368" spans="2:11" x14ac:dyDescent="0.25">
      <c r="B368" s="6" t="s">
        <v>28</v>
      </c>
      <c r="G368" s="3">
        <v>20793020.449999999</v>
      </c>
      <c r="I368" s="21">
        <v>21806466.280000001</v>
      </c>
      <c r="J368" s="18">
        <f t="shared" si="4"/>
        <v>-1013445.8300000019</v>
      </c>
      <c r="K368" s="79">
        <f t="shared" si="5"/>
        <v>-4.8739712079684985E-2</v>
      </c>
    </row>
    <row r="369" spans="2:11" x14ac:dyDescent="0.25">
      <c r="B369" s="6" t="s">
        <v>29</v>
      </c>
      <c r="G369" s="3">
        <v>4845297.59</v>
      </c>
      <c r="I369" s="21">
        <v>4817766.53</v>
      </c>
      <c r="J369" s="18">
        <f t="shared" si="4"/>
        <v>27531.05999999959</v>
      </c>
      <c r="K369" s="79">
        <f t="shared" si="5"/>
        <v>5.6820163237898437E-3</v>
      </c>
    </row>
    <row r="370" spans="2:11" x14ac:dyDescent="0.25">
      <c r="B370" s="6" t="s">
        <v>30</v>
      </c>
      <c r="G370" s="3">
        <v>2597708.59</v>
      </c>
      <c r="I370" s="21">
        <v>5427201.9900000002</v>
      </c>
      <c r="J370" s="18">
        <f t="shared" si="4"/>
        <v>-2829493.4000000004</v>
      </c>
      <c r="K370" s="79">
        <f t="shared" si="5"/>
        <v>-1.0892266403138007</v>
      </c>
    </row>
    <row r="371" spans="2:11" x14ac:dyDescent="0.25">
      <c r="B371" s="6" t="s">
        <v>31</v>
      </c>
      <c r="G371" s="3">
        <v>7799582.2300000004</v>
      </c>
      <c r="I371" s="21">
        <v>8782887.4199999999</v>
      </c>
      <c r="J371" s="18">
        <f t="shared" si="4"/>
        <v>-983305.18999999948</v>
      </c>
      <c r="K371" s="79">
        <f t="shared" si="5"/>
        <v>-0.12607152037167502</v>
      </c>
    </row>
    <row r="372" spans="2:11" x14ac:dyDescent="0.25">
      <c r="B372" s="6" t="s">
        <v>32</v>
      </c>
      <c r="G372" s="3">
        <v>3860884.11</v>
      </c>
      <c r="I372" s="21">
        <v>3860884.11</v>
      </c>
      <c r="J372" s="18">
        <f t="shared" si="4"/>
        <v>0</v>
      </c>
      <c r="K372" s="79">
        <f t="shared" si="5"/>
        <v>0</v>
      </c>
    </row>
    <row r="373" spans="2:11" x14ac:dyDescent="0.25">
      <c r="B373" s="6" t="s">
        <v>33</v>
      </c>
      <c r="G373" s="3">
        <v>2513722.36</v>
      </c>
      <c r="I373" s="21">
        <v>1428040.22</v>
      </c>
      <c r="J373" s="18">
        <f t="shared" si="4"/>
        <v>1085682.1399999999</v>
      </c>
      <c r="K373" s="79">
        <f t="shared" si="5"/>
        <v>0.43190216917989305</v>
      </c>
    </row>
    <row r="374" spans="2:11" x14ac:dyDescent="0.25">
      <c r="B374" s="6" t="s">
        <v>34</v>
      </c>
      <c r="G374" s="3">
        <v>439777.64</v>
      </c>
      <c r="I374" s="21">
        <v>578264.94999999995</v>
      </c>
      <c r="J374" s="18">
        <f t="shared" si="4"/>
        <v>-138487.30999999994</v>
      </c>
      <c r="K374" s="79">
        <f t="shared" si="5"/>
        <v>-0.31490302690241356</v>
      </c>
    </row>
    <row r="375" spans="2:11" x14ac:dyDescent="0.25">
      <c r="B375" s="6" t="s">
        <v>35</v>
      </c>
      <c r="G375" s="3">
        <v>842562.79</v>
      </c>
      <c r="I375" s="21">
        <v>1439531.16</v>
      </c>
      <c r="J375" s="18">
        <f t="shared" si="4"/>
        <v>-596968.36999999988</v>
      </c>
      <c r="K375" s="79">
        <f t="shared" si="5"/>
        <v>-0.70851499387956574</v>
      </c>
    </row>
    <row r="376" spans="2:11" x14ac:dyDescent="0.25">
      <c r="B376" s="6" t="s">
        <v>36</v>
      </c>
      <c r="G376" s="3">
        <v>1038642.24</v>
      </c>
      <c r="I376" s="21">
        <v>3663018.34</v>
      </c>
      <c r="J376" s="18">
        <f t="shared" si="4"/>
        <v>-2624376.0999999996</v>
      </c>
      <c r="K376" s="79">
        <f t="shared" si="5"/>
        <v>-2.5267373104332824</v>
      </c>
    </row>
    <row r="377" spans="2:11" x14ac:dyDescent="0.25">
      <c r="B377" s="6" t="s">
        <v>37</v>
      </c>
      <c r="G377" s="3">
        <v>1718212.9</v>
      </c>
      <c r="I377" s="21">
        <v>392255.59</v>
      </c>
      <c r="J377" s="18">
        <f t="shared" si="4"/>
        <v>1325957.3099999998</v>
      </c>
      <c r="K377" s="79">
        <f t="shared" si="5"/>
        <v>0.77170722557140614</v>
      </c>
    </row>
    <row r="378" spans="2:11" x14ac:dyDescent="0.25">
      <c r="B378" s="6" t="s">
        <v>38</v>
      </c>
      <c r="G378" s="3">
        <v>5089402.54</v>
      </c>
      <c r="I378" s="21">
        <v>681605.04</v>
      </c>
      <c r="J378" s="18">
        <f t="shared" si="4"/>
        <v>4407797.5</v>
      </c>
      <c r="K378" s="79">
        <f t="shared" si="5"/>
        <v>0.8660736629411907</v>
      </c>
    </row>
    <row r="379" spans="2:11" x14ac:dyDescent="0.25">
      <c r="B379" s="6" t="s">
        <v>39</v>
      </c>
      <c r="G379" s="50">
        <v>6116474.2699999996</v>
      </c>
      <c r="I379" s="21">
        <v>2033084.73</v>
      </c>
      <c r="J379" s="18">
        <f t="shared" si="4"/>
        <v>4083389.5399999996</v>
      </c>
      <c r="K379" s="79">
        <f t="shared" si="5"/>
        <v>0.66760512016344997</v>
      </c>
    </row>
    <row r="380" spans="2:11" x14ac:dyDescent="0.25">
      <c r="B380" s="6" t="s">
        <v>40</v>
      </c>
      <c r="G380" s="3">
        <v>288446.02</v>
      </c>
      <c r="I380" s="21">
        <v>1165546.3400000001</v>
      </c>
      <c r="J380" s="18">
        <f t="shared" si="4"/>
        <v>-877100.32000000007</v>
      </c>
      <c r="K380" s="79">
        <f t="shared" si="5"/>
        <v>-3.0407780284158541</v>
      </c>
    </row>
    <row r="381" spans="2:11" x14ac:dyDescent="0.25">
      <c r="B381" s="6" t="s">
        <v>41</v>
      </c>
      <c r="G381" s="3"/>
      <c r="I381" s="21">
        <v>154777</v>
      </c>
      <c r="J381" s="18">
        <f t="shared" si="4"/>
        <v>-154777</v>
      </c>
      <c r="K381" s="79" t="e">
        <f t="shared" si="5"/>
        <v>#DIV/0!</v>
      </c>
    </row>
    <row r="382" spans="2:11" x14ac:dyDescent="0.25">
      <c r="B382" s="6" t="s">
        <v>42</v>
      </c>
      <c r="G382" s="3">
        <v>5345597.12</v>
      </c>
      <c r="I382" s="21">
        <v>5866706.0499999998</v>
      </c>
      <c r="J382" s="18">
        <f t="shared" si="4"/>
        <v>-521108.9299999997</v>
      </c>
      <c r="K382" s="79">
        <f t="shared" si="5"/>
        <v>-9.748376435820881E-2</v>
      </c>
    </row>
    <row r="383" spans="2:11" x14ac:dyDescent="0.25">
      <c r="B383" s="6" t="s">
        <v>43</v>
      </c>
      <c r="G383" s="50">
        <v>2923871.71</v>
      </c>
      <c r="I383" s="21">
        <v>1639707.11</v>
      </c>
      <c r="J383" s="18">
        <f t="shared" si="4"/>
        <v>1284164.5999999999</v>
      </c>
      <c r="K383" s="79">
        <f t="shared" si="5"/>
        <v>0.43920004958083469</v>
      </c>
    </row>
    <row r="384" spans="2:11" x14ac:dyDescent="0.25">
      <c r="B384" s="6" t="s">
        <v>44</v>
      </c>
      <c r="G384" s="149">
        <f>SUM(G362:G383)</f>
        <v>202401003.58000001</v>
      </c>
      <c r="H384" s="136"/>
      <c r="I384" s="141">
        <f>SUM(I362:I383)</f>
        <v>272953389.09000003</v>
      </c>
      <c r="J384" s="150">
        <f t="shared" si="4"/>
        <v>-70552385.51000002</v>
      </c>
      <c r="K384" s="148">
        <f t="shared" si="5"/>
        <v>-0.34857725140732237</v>
      </c>
    </row>
    <row r="387" spans="2:11" x14ac:dyDescent="0.25">
      <c r="B387" s="6" t="s">
        <v>624</v>
      </c>
    </row>
    <row r="388" spans="2:11" x14ac:dyDescent="0.25">
      <c r="B388" s="6" t="s">
        <v>625</v>
      </c>
    </row>
    <row r="389" spans="2:11" x14ac:dyDescent="0.25">
      <c r="B389" s="19" t="s">
        <v>627</v>
      </c>
    </row>
    <row r="390" spans="2:11" x14ac:dyDescent="0.25">
      <c r="B390" s="19" t="s">
        <v>628</v>
      </c>
    </row>
    <row r="391" spans="2:11" x14ac:dyDescent="0.25">
      <c r="B391" s="19" t="s">
        <v>626</v>
      </c>
    </row>
    <row r="393" spans="2:11" x14ac:dyDescent="0.25">
      <c r="B393" t="s">
        <v>303</v>
      </c>
    </row>
    <row r="394" spans="2:11" x14ac:dyDescent="0.25">
      <c r="B394" s="19" t="s">
        <v>321</v>
      </c>
    </row>
    <row r="396" spans="2:11" x14ac:dyDescent="0.25">
      <c r="B396" t="s">
        <v>630</v>
      </c>
    </row>
    <row r="397" spans="2:11" x14ac:dyDescent="0.25">
      <c r="B397" t="s">
        <v>629</v>
      </c>
    </row>
    <row r="399" spans="2:11" x14ac:dyDescent="0.25">
      <c r="B399" s="19" t="s">
        <v>12</v>
      </c>
      <c r="G399" s="135">
        <v>2020</v>
      </c>
      <c r="H399" s="137"/>
      <c r="I399" s="137">
        <v>2019</v>
      </c>
      <c r="J399" s="137" t="s">
        <v>299</v>
      </c>
      <c r="K399" s="147" t="s">
        <v>300</v>
      </c>
    </row>
    <row r="400" spans="2:11" x14ac:dyDescent="0.25">
      <c r="B400" s="6" t="s">
        <v>46</v>
      </c>
      <c r="G400" s="3">
        <v>2826717.52</v>
      </c>
      <c r="I400" s="21">
        <v>3811784.71</v>
      </c>
      <c r="J400" s="21">
        <f>G400-I400</f>
        <v>-985067.19</v>
      </c>
      <c r="K400" s="79">
        <f>J400/G400</f>
        <v>-0.34848448174616325</v>
      </c>
    </row>
    <row r="401" spans="2:11" x14ac:dyDescent="0.25">
      <c r="B401" s="6" t="s">
        <v>47</v>
      </c>
      <c r="G401" s="3">
        <v>399008.37</v>
      </c>
      <c r="I401" s="21">
        <v>491968.43</v>
      </c>
      <c r="J401" s="21">
        <f t="shared" ref="J401:J406" si="6">G401-I401</f>
        <v>-92960.06</v>
      </c>
      <c r="K401" s="79">
        <f t="shared" ref="K401:K406" si="7">J401/G401</f>
        <v>-0.23297771923932323</v>
      </c>
    </row>
    <row r="402" spans="2:11" x14ac:dyDescent="0.25">
      <c r="B402" s="6" t="s">
        <v>48</v>
      </c>
      <c r="G402" s="3"/>
      <c r="I402" s="21">
        <v>1852818.28</v>
      </c>
      <c r="J402" s="21">
        <f t="shared" si="6"/>
        <v>-1852818.28</v>
      </c>
      <c r="K402" s="79" t="e">
        <f t="shared" si="7"/>
        <v>#DIV/0!</v>
      </c>
    </row>
    <row r="403" spans="2:11" x14ac:dyDescent="0.25">
      <c r="B403" s="6" t="s">
        <v>49</v>
      </c>
      <c r="G403" s="3"/>
      <c r="I403" s="21">
        <v>400000</v>
      </c>
      <c r="J403" s="21">
        <f t="shared" si="6"/>
        <v>-400000</v>
      </c>
      <c r="K403" s="79" t="e">
        <f t="shared" si="7"/>
        <v>#DIV/0!</v>
      </c>
    </row>
    <row r="404" spans="2:11" x14ac:dyDescent="0.25">
      <c r="B404" s="6" t="s">
        <v>50</v>
      </c>
      <c r="G404" s="3"/>
      <c r="I404" s="21">
        <v>873256.11</v>
      </c>
      <c r="J404" s="21">
        <f t="shared" si="6"/>
        <v>-873256.11</v>
      </c>
      <c r="K404" s="79" t="e">
        <f t="shared" si="7"/>
        <v>#DIV/0!</v>
      </c>
    </row>
    <row r="405" spans="2:11" x14ac:dyDescent="0.25">
      <c r="B405" s="6" t="s">
        <v>282</v>
      </c>
      <c r="G405" s="3">
        <v>5123347.76</v>
      </c>
      <c r="I405" s="21">
        <v>0</v>
      </c>
      <c r="J405" s="21">
        <f t="shared" si="6"/>
        <v>5123347.76</v>
      </c>
      <c r="K405" s="79">
        <f t="shared" si="7"/>
        <v>1</v>
      </c>
    </row>
    <row r="406" spans="2:11" x14ac:dyDescent="0.25">
      <c r="B406" s="6" t="s">
        <v>326</v>
      </c>
      <c r="G406" s="3"/>
      <c r="I406" s="21">
        <v>194500</v>
      </c>
      <c r="J406" s="21">
        <f t="shared" si="6"/>
        <v>-194500</v>
      </c>
      <c r="K406" s="79" t="e">
        <f t="shared" si="7"/>
        <v>#DIV/0!</v>
      </c>
    </row>
    <row r="407" spans="2:11" x14ac:dyDescent="0.25">
      <c r="B407" s="6" t="s">
        <v>327</v>
      </c>
      <c r="G407" s="149">
        <f>SUM(G400:G406)</f>
        <v>8349073.6500000004</v>
      </c>
      <c r="H407" s="136"/>
      <c r="I407" s="150">
        <f>SUM(I400:I406)</f>
        <v>7624327.5300000003</v>
      </c>
      <c r="J407" s="153">
        <f>G407-I407</f>
        <v>724746.12000000011</v>
      </c>
      <c r="K407" s="148">
        <f>J407/G407</f>
        <v>8.6805572735605241E-2</v>
      </c>
    </row>
    <row r="412" spans="2:11" x14ac:dyDescent="0.25">
      <c r="B412" s="19" t="s">
        <v>328</v>
      </c>
    </row>
    <row r="414" spans="2:11" x14ac:dyDescent="0.25">
      <c r="B414" t="s">
        <v>329</v>
      </c>
    </row>
    <row r="415" spans="2:11" x14ac:dyDescent="0.25">
      <c r="B415" t="s">
        <v>331</v>
      </c>
    </row>
    <row r="416" spans="2:11" x14ac:dyDescent="0.25">
      <c r="B416" t="s">
        <v>330</v>
      </c>
    </row>
    <row r="418" spans="2:11" x14ac:dyDescent="0.25">
      <c r="B418" s="19" t="s">
        <v>12</v>
      </c>
      <c r="G418" s="135">
        <v>2020</v>
      </c>
      <c r="H418" s="138"/>
      <c r="I418" s="137">
        <v>2019</v>
      </c>
      <c r="J418" s="137" t="s">
        <v>299</v>
      </c>
      <c r="K418" s="147" t="s">
        <v>300</v>
      </c>
    </row>
    <row r="419" spans="2:11" x14ac:dyDescent="0.25">
      <c r="B419" s="1" t="s">
        <v>54</v>
      </c>
      <c r="G419" s="3">
        <f>61425300.02+4827289.12</f>
        <v>66252589.140000001</v>
      </c>
      <c r="I419" s="3">
        <v>57381035.460000001</v>
      </c>
      <c r="J419" s="18">
        <f>G419-I419</f>
        <v>8871553.6799999997</v>
      </c>
      <c r="K419" s="79">
        <f>J419/G419</f>
        <v>0.13390501103667507</v>
      </c>
    </row>
    <row r="420" spans="2:11" x14ac:dyDescent="0.25">
      <c r="B420" s="1" t="s">
        <v>55</v>
      </c>
      <c r="G420" s="3">
        <v>2324474.39</v>
      </c>
      <c r="I420" s="3">
        <v>4093068.87</v>
      </c>
      <c r="J420" s="21">
        <f t="shared" ref="J420:J421" si="8">G420-I420</f>
        <v>-1768594.48</v>
      </c>
      <c r="K420" s="79">
        <f t="shared" ref="K420" si="9">J420/G420</f>
        <v>-0.76085780407328985</v>
      </c>
    </row>
    <row r="421" spans="2:11" x14ac:dyDescent="0.25">
      <c r="G421" s="21">
        <v>0</v>
      </c>
      <c r="I421" s="21">
        <v>0</v>
      </c>
      <c r="J421" s="21">
        <f t="shared" si="8"/>
        <v>0</v>
      </c>
    </row>
    <row r="422" spans="2:11" x14ac:dyDescent="0.25">
      <c r="B422" s="19" t="s">
        <v>56</v>
      </c>
      <c r="G422" s="140">
        <f>SUM(G419:G421)</f>
        <v>68577063.530000001</v>
      </c>
      <c r="H422" s="136"/>
      <c r="I422" s="150">
        <f>SUM(I419:I421)</f>
        <v>61474104.329999998</v>
      </c>
      <c r="J422" s="153">
        <f>G422-I422</f>
        <v>7102959.200000003</v>
      </c>
      <c r="K422" s="148">
        <f>J422/G422</f>
        <v>0.10357631013017514</v>
      </c>
    </row>
    <row r="427" spans="2:11" x14ac:dyDescent="0.25">
      <c r="B427" s="19" t="s">
        <v>332</v>
      </c>
    </row>
    <row r="428" spans="2:11" x14ac:dyDescent="0.25">
      <c r="B428" s="19"/>
    </row>
    <row r="429" spans="2:11" x14ac:dyDescent="0.25">
      <c r="B429" t="s">
        <v>334</v>
      </c>
    </row>
    <row r="434" spans="2:11" x14ac:dyDescent="0.25">
      <c r="B434" s="19" t="s">
        <v>12</v>
      </c>
    </row>
    <row r="435" spans="2:11" x14ac:dyDescent="0.25">
      <c r="B435" s="1" t="s">
        <v>58</v>
      </c>
      <c r="G435" s="135">
        <v>2020</v>
      </c>
      <c r="H435" s="138"/>
      <c r="I435" s="137">
        <v>2019</v>
      </c>
      <c r="J435" s="137" t="s">
        <v>299</v>
      </c>
      <c r="K435" s="147" t="s">
        <v>300</v>
      </c>
    </row>
    <row r="436" spans="2:11" x14ac:dyDescent="0.25">
      <c r="B436" s="1" t="s">
        <v>59</v>
      </c>
      <c r="G436" s="3">
        <v>12067.439999999999</v>
      </c>
      <c r="H436" s="21"/>
      <c r="I436" s="21">
        <v>36884.32</v>
      </c>
      <c r="J436" s="21">
        <f>G436-I436</f>
        <v>-24816.880000000001</v>
      </c>
      <c r="K436" s="154">
        <f>J436/G436</f>
        <v>-2.0565157150149496</v>
      </c>
    </row>
    <row r="437" spans="2:11" x14ac:dyDescent="0.25">
      <c r="B437" s="1" t="s">
        <v>60</v>
      </c>
      <c r="G437" s="3">
        <v>12500.029999999988</v>
      </c>
      <c r="H437" s="21"/>
      <c r="I437" s="21">
        <v>37500.120000000003</v>
      </c>
      <c r="J437" s="21">
        <f t="shared" ref="J437:J440" si="10">G437-I437</f>
        <v>-25000.090000000015</v>
      </c>
      <c r="K437" s="154">
        <f t="shared" ref="K437:K440" si="11">J437/G437</f>
        <v>-2.0000023999942433</v>
      </c>
    </row>
    <row r="438" spans="2:11" x14ac:dyDescent="0.25">
      <c r="B438" s="1" t="s">
        <v>61</v>
      </c>
      <c r="G438" s="3">
        <v>166147.28000000009</v>
      </c>
      <c r="H438" s="21"/>
      <c r="I438" s="21">
        <v>498441.69</v>
      </c>
      <c r="J438" s="21">
        <f t="shared" si="10"/>
        <v>-332294.40999999992</v>
      </c>
      <c r="K438" s="154">
        <f t="shared" si="11"/>
        <v>-1.9999990971865429</v>
      </c>
    </row>
    <row r="439" spans="2:11" x14ac:dyDescent="0.25">
      <c r="B439" s="6" t="s">
        <v>62</v>
      </c>
      <c r="G439" s="3">
        <v>62350.049999999952</v>
      </c>
      <c r="H439" s="21"/>
      <c r="I439" s="21">
        <v>187050.06</v>
      </c>
      <c r="J439" s="21">
        <f t="shared" si="10"/>
        <v>-124700.01000000004</v>
      </c>
      <c r="K439" s="154">
        <f t="shared" si="11"/>
        <v>-1.9999985565368454</v>
      </c>
    </row>
    <row r="440" spans="2:11" x14ac:dyDescent="0.25">
      <c r="G440" s="140">
        <f>SUM(G436:G439)</f>
        <v>253064.80000000002</v>
      </c>
      <c r="H440" s="141"/>
      <c r="I440" s="141">
        <f>SUM(I436:I439)</f>
        <v>759876.19</v>
      </c>
      <c r="J440" s="141">
        <f t="shared" si="10"/>
        <v>-506811.3899999999</v>
      </c>
      <c r="K440" s="155">
        <f t="shared" si="11"/>
        <v>-2.0026941320958107</v>
      </c>
    </row>
    <row r="441" spans="2:11" x14ac:dyDescent="0.25">
      <c r="I441" s="21" t="s">
        <v>251</v>
      </c>
      <c r="J441" s="21" t="s">
        <v>251</v>
      </c>
      <c r="K441" s="79" t="s">
        <v>251</v>
      </c>
    </row>
    <row r="446" spans="2:11" x14ac:dyDescent="0.25">
      <c r="B446" s="19" t="s">
        <v>333</v>
      </c>
    </row>
    <row r="449" spans="2:10" x14ac:dyDescent="0.25">
      <c r="B449" s="107" t="s">
        <v>268</v>
      </c>
      <c r="C449" s="107"/>
      <c r="D449" s="107"/>
      <c r="E449" s="107"/>
      <c r="F449" s="107"/>
      <c r="G449" s="107"/>
      <c r="H449" s="107"/>
      <c r="I449" s="107"/>
      <c r="J449" s="107"/>
    </row>
    <row r="450" spans="2:10" ht="45" x14ac:dyDescent="0.25">
      <c r="B450" s="24"/>
      <c r="C450" s="25"/>
      <c r="D450" s="26" t="s">
        <v>64</v>
      </c>
      <c r="E450" s="25"/>
      <c r="F450" s="26" t="s">
        <v>65</v>
      </c>
      <c r="G450" s="25"/>
      <c r="H450" s="51" t="s">
        <v>66</v>
      </c>
      <c r="I450" s="52" t="s">
        <v>67</v>
      </c>
      <c r="J450" s="44"/>
    </row>
    <row r="451" spans="2:10" x14ac:dyDescent="0.25">
      <c r="B451" s="27" t="s">
        <v>189</v>
      </c>
      <c r="C451" s="25"/>
      <c r="D451" s="28">
        <v>438986976.56999999</v>
      </c>
      <c r="E451" s="29"/>
      <c r="F451" s="28">
        <v>114944663.34</v>
      </c>
      <c r="G451" s="29"/>
      <c r="H451" s="43">
        <v>2050790.8</v>
      </c>
      <c r="I451" s="43">
        <f>SUM(D451:H451)</f>
        <v>555982430.70999992</v>
      </c>
      <c r="J451" s="44"/>
    </row>
    <row r="452" spans="2:10" ht="15.75" thickBot="1" x14ac:dyDescent="0.3">
      <c r="B452" s="30" t="s">
        <v>68</v>
      </c>
      <c r="C452" s="25"/>
      <c r="D452" s="64">
        <v>1532258.32</v>
      </c>
      <c r="E452" s="65"/>
      <c r="F452" s="64">
        <v>142219.5</v>
      </c>
      <c r="G452" s="65"/>
      <c r="H452" s="64">
        <v>0</v>
      </c>
      <c r="I452" s="66">
        <f>SUM(D452:H452)</f>
        <v>1674477.82</v>
      </c>
      <c r="J452" s="44"/>
    </row>
    <row r="453" spans="2:10" ht="15.75" thickBot="1" x14ac:dyDescent="0.3">
      <c r="B453" s="30" t="s">
        <v>70</v>
      </c>
      <c r="C453" s="25"/>
      <c r="D453" s="31">
        <f>SUM(D451:D452)</f>
        <v>440519234.88999999</v>
      </c>
      <c r="E453" s="29"/>
      <c r="F453" s="31">
        <f>SUM(F451:F452)</f>
        <v>115086882.84</v>
      </c>
      <c r="G453" s="29"/>
      <c r="H453" s="45">
        <f>SUM(H451:H452)</f>
        <v>2050790.8</v>
      </c>
      <c r="I453" s="45">
        <f>SUM(I451:I452)</f>
        <v>557656908.52999997</v>
      </c>
      <c r="J453" s="44"/>
    </row>
    <row r="454" spans="2:10" ht="15.75" thickTop="1" x14ac:dyDescent="0.25">
      <c r="B454" s="27" t="s">
        <v>71</v>
      </c>
      <c r="C454" s="25"/>
      <c r="D454" s="32"/>
      <c r="E454" s="29"/>
      <c r="F454" s="32"/>
      <c r="G454" s="29"/>
      <c r="H454" s="46"/>
      <c r="I454" s="46"/>
      <c r="J454" s="44"/>
    </row>
    <row r="455" spans="2:10" x14ac:dyDescent="0.25">
      <c r="B455" s="30" t="s">
        <v>72</v>
      </c>
      <c r="C455" s="25"/>
      <c r="D455" s="28">
        <v>-396177677.33999997</v>
      </c>
      <c r="E455" s="29"/>
      <c r="F455" s="28">
        <v>-87374170.329999998</v>
      </c>
      <c r="G455" s="29"/>
      <c r="H455" s="43">
        <v>-1539566.95</v>
      </c>
      <c r="I455" s="43">
        <f>SUM(D455:H455)</f>
        <v>-485091414.61999995</v>
      </c>
      <c r="J455" s="44"/>
    </row>
    <row r="456" spans="2:10" x14ac:dyDescent="0.25">
      <c r="B456" s="30" t="s">
        <v>73</v>
      </c>
      <c r="C456" s="25"/>
      <c r="D456" s="64">
        <v>-11827818.73</v>
      </c>
      <c r="E456" s="65"/>
      <c r="F456" s="64">
        <v>-2970929.71</v>
      </c>
      <c r="G456" s="65"/>
      <c r="H456" s="66">
        <v>-38809.22</v>
      </c>
      <c r="I456" s="66">
        <f>SUM(D456:H456)</f>
        <v>-14837557.660000002</v>
      </c>
      <c r="J456" s="44"/>
    </row>
    <row r="457" spans="2:10" ht="15.75" thickBot="1" x14ac:dyDescent="0.3">
      <c r="B457" s="30" t="s">
        <v>69</v>
      </c>
      <c r="C457" s="25"/>
      <c r="D457" s="33">
        <v>0</v>
      </c>
      <c r="E457" s="29"/>
      <c r="F457" s="33">
        <v>0</v>
      </c>
      <c r="G457" s="29"/>
      <c r="H457" s="33">
        <v>0</v>
      </c>
      <c r="I457" s="28">
        <f>SUM(D457:H457)</f>
        <v>0</v>
      </c>
      <c r="J457" s="44"/>
    </row>
    <row r="458" spans="2:10" ht="15.75" thickBot="1" x14ac:dyDescent="0.3">
      <c r="B458" s="30" t="s">
        <v>74</v>
      </c>
      <c r="C458" s="25"/>
      <c r="D458" s="33">
        <f>SUM(D455:D457)</f>
        <v>-408005496.06999999</v>
      </c>
      <c r="E458" s="29"/>
      <c r="F458" s="33">
        <f>SUM(F455:F457)</f>
        <v>-90345100.039999992</v>
      </c>
      <c r="G458" s="29"/>
      <c r="H458" s="47">
        <f>SUM(H455:H457)</f>
        <v>-1578376.17</v>
      </c>
      <c r="I458" s="48">
        <f>SUM(I455:I457)</f>
        <v>-499928972.27999997</v>
      </c>
      <c r="J458" s="44"/>
    </row>
    <row r="459" spans="2:10" ht="15.75" thickBot="1" x14ac:dyDescent="0.3">
      <c r="B459" s="34" t="s">
        <v>190</v>
      </c>
      <c r="C459" s="25"/>
      <c r="D459" s="35">
        <f t="shared" ref="D459" si="12">+D453+D458</f>
        <v>32513738.819999993</v>
      </c>
      <c r="E459" s="29"/>
      <c r="F459" s="35">
        <f t="shared" ref="F459" si="13">+F453+F458</f>
        <v>24741782.800000012</v>
      </c>
      <c r="G459" s="29"/>
      <c r="H459" s="49">
        <f t="shared" ref="H459" si="14">+H453+H458</f>
        <v>472414.63000000012</v>
      </c>
      <c r="I459" s="49">
        <f>+I453+I458</f>
        <v>57727936.25</v>
      </c>
      <c r="J459" s="44"/>
    </row>
    <row r="460" spans="2:10" ht="15.75" thickTop="1" x14ac:dyDescent="0.25"/>
    <row r="463" spans="2:10" ht="45" x14ac:dyDescent="0.25">
      <c r="B463" s="24"/>
      <c r="C463" s="25"/>
      <c r="D463" s="26" t="s">
        <v>64</v>
      </c>
      <c r="E463" s="25"/>
      <c r="F463" s="26" t="s">
        <v>65</v>
      </c>
      <c r="G463" s="25"/>
      <c r="H463" s="51" t="s">
        <v>66</v>
      </c>
      <c r="I463" s="52" t="s">
        <v>67</v>
      </c>
      <c r="J463" s="44"/>
    </row>
    <row r="464" spans="2:10" x14ac:dyDescent="0.25">
      <c r="B464" s="27" t="s">
        <v>335</v>
      </c>
      <c r="C464" s="25"/>
      <c r="D464" s="28">
        <v>414514802.56</v>
      </c>
      <c r="E464" s="29"/>
      <c r="F464" s="28">
        <v>110181269.08</v>
      </c>
      <c r="G464" s="29"/>
      <c r="H464" s="43">
        <v>1983790.8</v>
      </c>
      <c r="I464" s="43">
        <f>SUM(D464:H464)</f>
        <v>526679862.44</v>
      </c>
      <c r="J464" s="44"/>
    </row>
    <row r="465" spans="2:10" x14ac:dyDescent="0.25">
      <c r="B465" s="30" t="s">
        <v>68</v>
      </c>
      <c r="C465" s="25"/>
      <c r="D465" s="64">
        <v>30987360.850000001</v>
      </c>
      <c r="E465" s="65"/>
      <c r="F465" s="64">
        <v>4639302.42</v>
      </c>
      <c r="G465" s="65"/>
      <c r="H465" s="87">
        <v>67000</v>
      </c>
      <c r="I465" s="66">
        <f>SUM(D465:H465)</f>
        <v>35693663.270000003</v>
      </c>
      <c r="J465" s="44"/>
    </row>
    <row r="466" spans="2:10" ht="15.75" thickBot="1" x14ac:dyDescent="0.3">
      <c r="B466" s="30" t="s">
        <v>69</v>
      </c>
      <c r="C466" s="25"/>
      <c r="D466" s="64">
        <v>-9584982.25</v>
      </c>
      <c r="E466" s="65"/>
      <c r="F466" s="64">
        <v>-2840556.95</v>
      </c>
      <c r="G466" s="65"/>
      <c r="H466" s="87">
        <v>0</v>
      </c>
      <c r="I466" s="66">
        <f>SUM(D466:H466)</f>
        <v>-12425539.199999999</v>
      </c>
      <c r="J466" s="44"/>
    </row>
    <row r="467" spans="2:10" ht="15.75" thickBot="1" x14ac:dyDescent="0.3">
      <c r="B467" s="30" t="s">
        <v>70</v>
      </c>
      <c r="C467" s="25"/>
      <c r="D467" s="31">
        <f>SUM(D464:D466)</f>
        <v>435917181.16000003</v>
      </c>
      <c r="E467" s="29"/>
      <c r="F467" s="31">
        <f>SUM(F464:F466)</f>
        <v>111980014.55</v>
      </c>
      <c r="G467" s="29"/>
      <c r="H467" s="31">
        <f>SUM(H464:H466)</f>
        <v>2050790.8</v>
      </c>
      <c r="I467" s="45">
        <f>SUM(I464:I466)</f>
        <v>549947986.50999999</v>
      </c>
      <c r="J467" s="44"/>
    </row>
    <row r="468" spans="2:10" ht="15.75" thickTop="1" x14ac:dyDescent="0.25">
      <c r="B468" s="27" t="s">
        <v>71</v>
      </c>
      <c r="C468" s="25"/>
      <c r="D468" s="32"/>
      <c r="E468" s="29"/>
      <c r="F468" s="32"/>
      <c r="G468" s="29"/>
      <c r="H468" s="46"/>
      <c r="I468" s="46"/>
      <c r="J468" s="44"/>
    </row>
    <row r="469" spans="2:10" x14ac:dyDescent="0.25">
      <c r="B469" s="30" t="s">
        <v>72</v>
      </c>
      <c r="C469" s="25"/>
      <c r="D469" s="28">
        <v>-326020023.57999998</v>
      </c>
      <c r="E469" s="29"/>
      <c r="F469" s="28">
        <v>-67809095.790000007</v>
      </c>
      <c r="G469" s="29"/>
      <c r="H469" s="43">
        <v>-1274602.4099999999</v>
      </c>
      <c r="I469" s="43">
        <f>SUM(D469:H469)</f>
        <v>-395103721.78000003</v>
      </c>
      <c r="J469" s="44"/>
    </row>
    <row r="470" spans="2:10" x14ac:dyDescent="0.25">
      <c r="B470" s="30" t="s">
        <v>73</v>
      </c>
      <c r="C470" s="25"/>
      <c r="D470" s="64">
        <v>-18418038.629999999</v>
      </c>
      <c r="E470" s="65"/>
      <c r="F470" s="64">
        <v>-5512496.9299999997</v>
      </c>
      <c r="G470" s="65"/>
      <c r="H470" s="66">
        <v>-70918.44</v>
      </c>
      <c r="I470" s="66">
        <f>SUM(D470:H470)</f>
        <v>-24001454</v>
      </c>
      <c r="J470" s="44"/>
    </row>
    <row r="471" spans="2:10" ht="15.75" thickBot="1" x14ac:dyDescent="0.3">
      <c r="B471" s="30" t="s">
        <v>69</v>
      </c>
      <c r="C471" s="25"/>
      <c r="D471" s="33">
        <v>8467958.6500000004</v>
      </c>
      <c r="E471" s="29"/>
      <c r="F471" s="33">
        <v>802070.94</v>
      </c>
      <c r="G471" s="29"/>
      <c r="H471" s="33">
        <v>0</v>
      </c>
      <c r="I471" s="28">
        <f>SUM(D471:H471)</f>
        <v>9270029.5899999999</v>
      </c>
      <c r="J471" s="44"/>
    </row>
    <row r="472" spans="2:10" ht="15.75" thickBot="1" x14ac:dyDescent="0.3">
      <c r="B472" s="30" t="s">
        <v>74</v>
      </c>
      <c r="C472" s="25"/>
      <c r="D472" s="33">
        <f>SUM(D469:D471)</f>
        <v>-335970103.56</v>
      </c>
      <c r="E472" s="29"/>
      <c r="F472" s="33">
        <f>SUM(F469:F471)</f>
        <v>-72519521.780000001</v>
      </c>
      <c r="G472" s="29"/>
      <c r="H472" s="47">
        <f>SUM(H469:H471)</f>
        <v>-1345520.8499999999</v>
      </c>
      <c r="I472" s="48">
        <f>SUM(I469:I471)</f>
        <v>-409835146.19000006</v>
      </c>
      <c r="J472" s="44"/>
    </row>
    <row r="473" spans="2:10" ht="15.75" thickBot="1" x14ac:dyDescent="0.3">
      <c r="B473" s="34" t="s">
        <v>336</v>
      </c>
      <c r="C473" s="25"/>
      <c r="D473" s="35">
        <f t="shared" ref="D473" si="15">+D467+D472</f>
        <v>99947077.600000024</v>
      </c>
      <c r="E473" s="29"/>
      <c r="F473" s="35">
        <f t="shared" ref="F473" si="16">+F467+F472</f>
        <v>39460492.769999996</v>
      </c>
      <c r="G473" s="29"/>
      <c r="H473" s="49">
        <f t="shared" ref="H473" si="17">+H467+H472</f>
        <v>705269.95000000019</v>
      </c>
      <c r="I473" s="49">
        <f>+I467+I472</f>
        <v>140112840.31999993</v>
      </c>
      <c r="J473" s="44"/>
    </row>
    <row r="474" spans="2:10" ht="15.75" thickTop="1" x14ac:dyDescent="0.25"/>
    <row r="476" spans="2:10" x14ac:dyDescent="0.25">
      <c r="B476" t="s">
        <v>631</v>
      </c>
    </row>
    <row r="477" spans="2:10" x14ac:dyDescent="0.25">
      <c r="B477" t="s">
        <v>348</v>
      </c>
    </row>
    <row r="478" spans="2:10" x14ac:dyDescent="0.25">
      <c r="B478" t="s">
        <v>251</v>
      </c>
    </row>
    <row r="482" spans="2:11" x14ac:dyDescent="0.25">
      <c r="B482" s="19" t="s">
        <v>338</v>
      </c>
    </row>
    <row r="484" spans="2:11" x14ac:dyDescent="0.25">
      <c r="B484" s="19" t="s">
        <v>255</v>
      </c>
    </row>
    <row r="486" spans="2:11" x14ac:dyDescent="0.25">
      <c r="B486" s="19" t="s">
        <v>339</v>
      </c>
    </row>
    <row r="488" spans="2:11" x14ac:dyDescent="0.25">
      <c r="B488" t="s">
        <v>340</v>
      </c>
      <c r="J488" t="s">
        <v>251</v>
      </c>
    </row>
    <row r="489" spans="2:11" x14ac:dyDescent="0.25">
      <c r="B489" t="s">
        <v>341</v>
      </c>
      <c r="K489" s="79" t="s">
        <v>251</v>
      </c>
    </row>
    <row r="490" spans="2:11" x14ac:dyDescent="0.25">
      <c r="B490" t="s">
        <v>342</v>
      </c>
    </row>
    <row r="491" spans="2:11" x14ac:dyDescent="0.25">
      <c r="I491" t="s">
        <v>251</v>
      </c>
    </row>
    <row r="492" spans="2:11" x14ac:dyDescent="0.25">
      <c r="B492" s="19" t="s">
        <v>251</v>
      </c>
      <c r="G492" s="157"/>
      <c r="H492" s="158" t="s">
        <v>251</v>
      </c>
      <c r="I492" s="158" t="s">
        <v>251</v>
      </c>
      <c r="J492" s="158" t="s">
        <v>251</v>
      </c>
      <c r="K492" s="158" t="s">
        <v>251</v>
      </c>
    </row>
    <row r="493" spans="2:11" x14ac:dyDescent="0.25">
      <c r="B493" s="19" t="s">
        <v>351</v>
      </c>
      <c r="G493" s="135">
        <v>2020</v>
      </c>
      <c r="H493" s="137">
        <v>2019</v>
      </c>
      <c r="I493" s="137" t="s">
        <v>350</v>
      </c>
      <c r="J493" s="147" t="s">
        <v>300</v>
      </c>
    </row>
    <row r="494" spans="2:11" x14ac:dyDescent="0.25">
      <c r="B494" t="s">
        <v>349</v>
      </c>
      <c r="G494" s="21">
        <v>52320883.390000001</v>
      </c>
      <c r="H494" s="21">
        <v>59253164.229999997</v>
      </c>
      <c r="I494" s="18">
        <f>G494-H494</f>
        <v>-6932280.8399999961</v>
      </c>
      <c r="J494" s="79">
        <f>I494/G494</f>
        <v>-0.13249548537486946</v>
      </c>
    </row>
    <row r="495" spans="2:11" x14ac:dyDescent="0.25">
      <c r="B495" t="s">
        <v>352</v>
      </c>
      <c r="G495" s="21">
        <f>74895+2190716.47+32320</f>
        <v>2297931.4700000002</v>
      </c>
      <c r="H495" s="21">
        <v>2707120.01</v>
      </c>
      <c r="I495" s="18">
        <f t="shared" ref="I495:I496" si="18">G495-H495</f>
        <v>-409188.53999999957</v>
      </c>
      <c r="J495" s="79">
        <f t="shared" ref="J495:J496" si="19">I495/G495</f>
        <v>-0.17806820844835705</v>
      </c>
    </row>
    <row r="496" spans="2:11" x14ac:dyDescent="0.25">
      <c r="B496" t="s">
        <v>353</v>
      </c>
      <c r="G496" s="21">
        <f>40000+35400+304440+32320.2+670500+2255604.04+1063833.33+23400+4661+21240</f>
        <v>4451398.57</v>
      </c>
      <c r="H496" s="21">
        <v>1530693.11</v>
      </c>
      <c r="I496" s="18">
        <f t="shared" si="18"/>
        <v>2920705.46</v>
      </c>
      <c r="J496" s="79">
        <f t="shared" si="19"/>
        <v>0.65613209288513563</v>
      </c>
    </row>
    <row r="497" spans="2:10" x14ac:dyDescent="0.25">
      <c r="B497" t="s">
        <v>79</v>
      </c>
      <c r="G497" s="140">
        <f>SUM(G494:G496)</f>
        <v>59070213.43</v>
      </c>
      <c r="H497" s="141">
        <f>SUM(H494:H496)</f>
        <v>63490977.349999994</v>
      </c>
      <c r="I497" s="150">
        <f>G497-H497</f>
        <v>-4420763.9199999943</v>
      </c>
      <c r="J497" s="148">
        <f>I497/G497</f>
        <v>-7.4839139107542488E-2</v>
      </c>
    </row>
    <row r="498" spans="2:10" x14ac:dyDescent="0.25">
      <c r="G498" t="s">
        <v>251</v>
      </c>
      <c r="J498" t="s">
        <v>280</v>
      </c>
    </row>
    <row r="499" spans="2:10" x14ac:dyDescent="0.25">
      <c r="J499" t="s">
        <v>251</v>
      </c>
    </row>
    <row r="500" spans="2:10" x14ac:dyDescent="0.25">
      <c r="J500" t="s">
        <v>251</v>
      </c>
    </row>
    <row r="501" spans="2:10" x14ac:dyDescent="0.25">
      <c r="B501" s="19" t="s">
        <v>364</v>
      </c>
      <c r="H501" t="s">
        <v>251</v>
      </c>
      <c r="I501" t="s">
        <v>251</v>
      </c>
      <c r="J501" t="s">
        <v>251</v>
      </c>
    </row>
    <row r="502" spans="2:10" x14ac:dyDescent="0.25">
      <c r="B502" s="19"/>
    </row>
    <row r="503" spans="2:10" x14ac:dyDescent="0.25">
      <c r="B503" s="19" t="s">
        <v>370</v>
      </c>
    </row>
    <row r="504" spans="2:10" x14ac:dyDescent="0.25">
      <c r="B504" s="19" t="s">
        <v>371</v>
      </c>
    </row>
    <row r="505" spans="2:10" x14ac:dyDescent="0.25">
      <c r="B505" s="19" t="s">
        <v>372</v>
      </c>
    </row>
    <row r="506" spans="2:10" x14ac:dyDescent="0.25">
      <c r="B506" s="19"/>
    </row>
    <row r="507" spans="2:10" x14ac:dyDescent="0.25">
      <c r="B507" s="19"/>
    </row>
    <row r="508" spans="2:10" x14ac:dyDescent="0.25">
      <c r="B508" s="19"/>
    </row>
    <row r="509" spans="2:10" x14ac:dyDescent="0.25">
      <c r="B509" s="19" t="s">
        <v>351</v>
      </c>
      <c r="G509" s="135">
        <v>2020</v>
      </c>
      <c r="H509" s="137">
        <v>2019</v>
      </c>
      <c r="I509" s="137" t="s">
        <v>350</v>
      </c>
      <c r="J509" s="147" t="s">
        <v>300</v>
      </c>
    </row>
    <row r="510" spans="2:10" x14ac:dyDescent="0.25">
      <c r="B510" t="s">
        <v>365</v>
      </c>
      <c r="G510" s="53">
        <v>0</v>
      </c>
      <c r="H510" s="21">
        <v>0</v>
      </c>
      <c r="I510" s="21">
        <f>G510-H510</f>
        <v>0</v>
      </c>
      <c r="J510" s="79" t="e">
        <f>I510/G510</f>
        <v>#DIV/0!</v>
      </c>
    </row>
    <row r="511" spans="2:10" x14ac:dyDescent="0.25">
      <c r="B511" t="s">
        <v>366</v>
      </c>
      <c r="G511" s="53">
        <f>4430.09+41416.545+1500+322.4+872.1+950+1035+322.5+206.4+156.5+360</f>
        <v>51571.534999999996</v>
      </c>
      <c r="H511" s="21">
        <v>9931.16</v>
      </c>
      <c r="I511" s="21">
        <f t="shared" ref="I511:I514" si="20">G511-H511</f>
        <v>41640.375</v>
      </c>
      <c r="J511" s="79">
        <f t="shared" ref="J511:J514" si="21">I511/G511</f>
        <v>0.80742942788109762</v>
      </c>
    </row>
    <row r="512" spans="2:10" x14ac:dyDescent="0.25">
      <c r="B512" t="s">
        <v>367</v>
      </c>
      <c r="G512" s="53">
        <f>600+1200+6575+3200</f>
        <v>11575</v>
      </c>
      <c r="H512" s="21">
        <v>110406.18</v>
      </c>
      <c r="I512" s="21">
        <f t="shared" si="20"/>
        <v>-98831.18</v>
      </c>
      <c r="J512" s="79">
        <f t="shared" si="21"/>
        <v>-8.5383308855291578</v>
      </c>
    </row>
    <row r="513" spans="2:10" x14ac:dyDescent="0.25">
      <c r="B513" t="s">
        <v>368</v>
      </c>
      <c r="G513" s="53">
        <f>5760+5400</f>
        <v>11160</v>
      </c>
      <c r="H513" s="21">
        <v>19925.84</v>
      </c>
      <c r="I513" s="21">
        <f t="shared" si="20"/>
        <v>-8765.84</v>
      </c>
      <c r="J513" s="79">
        <f t="shared" si="21"/>
        <v>-0.78546953405017927</v>
      </c>
    </row>
    <row r="514" spans="2:10" x14ac:dyDescent="0.25">
      <c r="B514" t="s">
        <v>84</v>
      </c>
      <c r="G514" s="53">
        <v>0</v>
      </c>
      <c r="H514" s="21">
        <v>0</v>
      </c>
      <c r="I514" s="21">
        <f t="shared" si="20"/>
        <v>0</v>
      </c>
      <c r="J514" s="79" t="e">
        <f t="shared" si="21"/>
        <v>#DIV/0!</v>
      </c>
    </row>
    <row r="515" spans="2:10" x14ac:dyDescent="0.25">
      <c r="B515" s="19" t="s">
        <v>369</v>
      </c>
      <c r="G515" s="140">
        <f>SUM(G510:G514)</f>
        <v>74306.535000000003</v>
      </c>
      <c r="H515" s="140">
        <f>SUM(H510:H514)</f>
        <v>140263.18</v>
      </c>
      <c r="I515" s="141">
        <f>G515-H515</f>
        <v>-65956.64499999999</v>
      </c>
      <c r="J515" s="148">
        <f>I515/G515</f>
        <v>-0.88762912979322728</v>
      </c>
    </row>
    <row r="519" spans="2:10" x14ac:dyDescent="0.25">
      <c r="B519" s="19" t="s">
        <v>373</v>
      </c>
    </row>
    <row r="521" spans="2:10" x14ac:dyDescent="0.25">
      <c r="B521" t="s">
        <v>374</v>
      </c>
    </row>
    <row r="522" spans="2:10" x14ac:dyDescent="0.25">
      <c r="B522" t="s">
        <v>381</v>
      </c>
    </row>
    <row r="524" spans="2:10" x14ac:dyDescent="0.25">
      <c r="B524" s="19" t="s">
        <v>351</v>
      </c>
      <c r="G524" s="135">
        <v>2020</v>
      </c>
      <c r="H524" s="137">
        <v>2019</v>
      </c>
      <c r="I524" s="137" t="s">
        <v>350</v>
      </c>
      <c r="J524" s="147" t="s">
        <v>300</v>
      </c>
    </row>
    <row r="525" spans="2:10" x14ac:dyDescent="0.25">
      <c r="B525" s="185" t="s">
        <v>88</v>
      </c>
      <c r="G525" s="94">
        <v>534638142.77999997</v>
      </c>
      <c r="H525" s="21">
        <v>534638142.77999997</v>
      </c>
      <c r="I525" s="18">
        <f>G525-H525</f>
        <v>0</v>
      </c>
      <c r="J525" s="18">
        <f>I525/G525</f>
        <v>0</v>
      </c>
    </row>
    <row r="526" spans="2:10" x14ac:dyDescent="0.25">
      <c r="B526" s="185" t="s">
        <v>262</v>
      </c>
      <c r="G526" s="101">
        <v>29961353.370000001</v>
      </c>
      <c r="H526" s="21">
        <v>71916803.780000001</v>
      </c>
      <c r="I526" s="18">
        <f t="shared" ref="I526:I527" si="22">G526-H526</f>
        <v>-41955450.409999996</v>
      </c>
      <c r="J526" s="21">
        <f>I526/G526</f>
        <v>-1.4003189339240452</v>
      </c>
    </row>
    <row r="527" spans="2:10" x14ac:dyDescent="0.25">
      <c r="B527" s="185" t="s">
        <v>263</v>
      </c>
      <c r="G527" s="94">
        <v>32441546.77</v>
      </c>
      <c r="H527" s="21">
        <v>126684466.78</v>
      </c>
      <c r="I527" s="18">
        <f t="shared" si="22"/>
        <v>-94242920.010000005</v>
      </c>
      <c r="J527" s="21">
        <f t="shared" ref="J527" si="23">I527/G527</f>
        <v>-2.9050069862004921</v>
      </c>
    </row>
    <row r="528" spans="2:10" x14ac:dyDescent="0.25">
      <c r="B528" s="188" t="s">
        <v>264</v>
      </c>
      <c r="G528" s="186">
        <f>SUM(G525:G527)</f>
        <v>597041042.91999996</v>
      </c>
      <c r="H528" s="187">
        <f>SUM(H525:H527)</f>
        <v>733239413.33999991</v>
      </c>
      <c r="I528" s="187">
        <f>G528-H528</f>
        <v>-136198370.41999996</v>
      </c>
      <c r="J528" s="148">
        <f>I528/G528</f>
        <v>-0.22812229081250909</v>
      </c>
    </row>
    <row r="532" spans="2:10" x14ac:dyDescent="0.25">
      <c r="B532" s="19" t="s">
        <v>375</v>
      </c>
    </row>
    <row r="534" spans="2:10" x14ac:dyDescent="0.25">
      <c r="B534" t="s">
        <v>376</v>
      </c>
    </row>
    <row r="535" spans="2:10" x14ac:dyDescent="0.25">
      <c r="B535" t="s">
        <v>377</v>
      </c>
    </row>
    <row r="536" spans="2:10" x14ac:dyDescent="0.25">
      <c r="B536" t="s">
        <v>378</v>
      </c>
    </row>
    <row r="540" spans="2:10" x14ac:dyDescent="0.25">
      <c r="B540" s="19" t="s">
        <v>351</v>
      </c>
      <c r="G540" s="135">
        <v>2020</v>
      </c>
      <c r="H540" s="137">
        <v>2019</v>
      </c>
      <c r="I540" s="137" t="s">
        <v>350</v>
      </c>
      <c r="J540" s="147" t="s">
        <v>300</v>
      </c>
    </row>
    <row r="541" spans="2:10" x14ac:dyDescent="0.25">
      <c r="B541" s="1" t="s">
        <v>94</v>
      </c>
      <c r="G541" s="3">
        <v>250417682.24000001</v>
      </c>
      <c r="H541" s="21">
        <v>458140764.76999998</v>
      </c>
      <c r="I541" s="18">
        <f>G541-H541</f>
        <v>-207723082.52999997</v>
      </c>
      <c r="J541" s="189">
        <f>I541/G541</f>
        <v>-0.82950644967202602</v>
      </c>
    </row>
    <row r="542" spans="2:10" x14ac:dyDescent="0.25">
      <c r="B542" s="1" t="s">
        <v>95</v>
      </c>
      <c r="G542" s="3">
        <v>105594941.67</v>
      </c>
      <c r="H542" s="21">
        <v>203098556.84999999</v>
      </c>
      <c r="I542" s="18">
        <f t="shared" ref="I542:I546" si="24">G542-H542</f>
        <v>-97503615.179999992</v>
      </c>
      <c r="J542" s="189">
        <f t="shared" ref="J542:J546" si="25">I542/G542</f>
        <v>-0.92337391960226067</v>
      </c>
    </row>
    <row r="543" spans="2:10" x14ac:dyDescent="0.25">
      <c r="B543" s="1" t="s">
        <v>96</v>
      </c>
      <c r="G543" s="3">
        <v>29509801.600000001</v>
      </c>
      <c r="H543" s="21">
        <v>87859409.840000004</v>
      </c>
      <c r="I543" s="18">
        <f t="shared" si="24"/>
        <v>-58349608.240000002</v>
      </c>
      <c r="J543" s="189">
        <f t="shared" si="25"/>
        <v>-1.9772958500676603</v>
      </c>
    </row>
    <row r="544" spans="2:10" x14ac:dyDescent="0.25">
      <c r="B544" s="1" t="s">
        <v>97</v>
      </c>
      <c r="G544" s="3">
        <v>4137989.22</v>
      </c>
      <c r="H544" s="21">
        <v>12947885.59</v>
      </c>
      <c r="I544" s="18">
        <f t="shared" si="24"/>
        <v>-8809896.3699999992</v>
      </c>
      <c r="J544" s="189">
        <f t="shared" si="25"/>
        <v>-2.1290283520844935</v>
      </c>
    </row>
    <row r="545" spans="2:10" x14ac:dyDescent="0.25">
      <c r="B545" s="1" t="s">
        <v>98</v>
      </c>
      <c r="G545" s="3">
        <v>0</v>
      </c>
      <c r="H545" s="21">
        <v>153320</v>
      </c>
      <c r="I545" s="18">
        <f t="shared" si="24"/>
        <v>-153320</v>
      </c>
      <c r="J545" s="189" t="e">
        <f t="shared" si="25"/>
        <v>#DIV/0!</v>
      </c>
    </row>
    <row r="546" spans="2:10" x14ac:dyDescent="0.25">
      <c r="B546" s="1" t="s">
        <v>99</v>
      </c>
      <c r="G546" s="3">
        <v>5360368.8099999996</v>
      </c>
      <c r="H546" s="21">
        <v>0</v>
      </c>
      <c r="I546" s="18">
        <f t="shared" si="24"/>
        <v>5360368.8099999996</v>
      </c>
      <c r="J546" s="189">
        <f t="shared" si="25"/>
        <v>1</v>
      </c>
    </row>
    <row r="547" spans="2:10" x14ac:dyDescent="0.25">
      <c r="B547" s="6" t="s">
        <v>100</v>
      </c>
      <c r="G547" s="149">
        <f>SUM(G541:G546)</f>
        <v>395020783.54000008</v>
      </c>
      <c r="H547" s="141">
        <f>SUM(H541:H546)</f>
        <v>762199937.05000007</v>
      </c>
      <c r="I547" s="150">
        <f>G547-H547</f>
        <v>-367179153.50999999</v>
      </c>
      <c r="J547" s="148">
        <f>I547/G547</f>
        <v>-0.92951856917376396</v>
      </c>
    </row>
    <row r="552" spans="2:10" x14ac:dyDescent="0.25">
      <c r="B552" s="19" t="s">
        <v>379</v>
      </c>
      <c r="G552" s="158" t="s">
        <v>251</v>
      </c>
      <c r="H552" s="158" t="s">
        <v>251</v>
      </c>
      <c r="I552" s="158" t="s">
        <v>251</v>
      </c>
      <c r="J552" s="158" t="s">
        <v>251</v>
      </c>
    </row>
    <row r="554" spans="2:10" x14ac:dyDescent="0.25">
      <c r="B554" t="s">
        <v>380</v>
      </c>
    </row>
    <row r="555" spans="2:10" x14ac:dyDescent="0.25">
      <c r="B555" t="s">
        <v>382</v>
      </c>
    </row>
    <row r="557" spans="2:10" x14ac:dyDescent="0.25">
      <c r="B557" s="19" t="s">
        <v>351</v>
      </c>
      <c r="G557" s="135">
        <v>2020</v>
      </c>
      <c r="H557" s="137">
        <v>2019</v>
      </c>
      <c r="I557" s="137" t="s">
        <v>350</v>
      </c>
      <c r="J557" s="147" t="s">
        <v>300</v>
      </c>
    </row>
    <row r="558" spans="2:10" x14ac:dyDescent="0.25">
      <c r="B558" t="s">
        <v>383</v>
      </c>
      <c r="G558" s="3">
        <v>220146580.97999999</v>
      </c>
      <c r="H558" s="21">
        <v>230845596.77000001</v>
      </c>
      <c r="I558" s="21">
        <f>G558-H558</f>
        <v>-10699015.790000021</v>
      </c>
      <c r="J558" s="79">
        <f>I558/G558</f>
        <v>-4.8599509210511031E-2</v>
      </c>
    </row>
    <row r="559" spans="2:10" x14ac:dyDescent="0.25">
      <c r="B559" s="19" t="s">
        <v>384</v>
      </c>
      <c r="G559" s="140">
        <f>G558</f>
        <v>220146580.97999999</v>
      </c>
      <c r="H559" s="141">
        <f>H558</f>
        <v>230845596.77000001</v>
      </c>
      <c r="I559" s="141">
        <f>G559-H559</f>
        <v>-10699015.790000021</v>
      </c>
      <c r="J559" s="190">
        <f>I559/G559</f>
        <v>-4.8599509210511031E-2</v>
      </c>
    </row>
    <row r="563" spans="2:10" x14ac:dyDescent="0.25">
      <c r="B563" s="19" t="s">
        <v>385</v>
      </c>
    </row>
    <row r="565" spans="2:10" x14ac:dyDescent="0.25">
      <c r="B565" t="s">
        <v>386</v>
      </c>
    </row>
    <row r="566" spans="2:10" x14ac:dyDescent="0.25">
      <c r="B566" t="s">
        <v>387</v>
      </c>
    </row>
    <row r="567" spans="2:10" x14ac:dyDescent="0.25">
      <c r="B567" t="s">
        <v>388</v>
      </c>
    </row>
    <row r="569" spans="2:10" x14ac:dyDescent="0.25">
      <c r="B569" s="19" t="s">
        <v>351</v>
      </c>
      <c r="G569" s="135">
        <v>2020</v>
      </c>
      <c r="H569" s="137">
        <v>2019</v>
      </c>
      <c r="I569" s="137" t="s">
        <v>350</v>
      </c>
      <c r="J569" s="147" t="s">
        <v>300</v>
      </c>
    </row>
    <row r="570" spans="2:10" x14ac:dyDescent="0.25">
      <c r="B570" t="s">
        <v>389</v>
      </c>
      <c r="G570" s="21">
        <v>195943795.47999999</v>
      </c>
      <c r="H570" s="21">
        <v>178479324.02000001</v>
      </c>
      <c r="I570" s="21">
        <f>G570-H570</f>
        <v>17464471.459999979</v>
      </c>
      <c r="J570" s="79">
        <f>I570/G570</f>
        <v>8.9130004944619839E-2</v>
      </c>
    </row>
    <row r="571" spans="2:10" x14ac:dyDescent="0.25">
      <c r="B571" t="s">
        <v>390</v>
      </c>
      <c r="G571" s="21">
        <v>15541186.67</v>
      </c>
      <c r="H571" s="21">
        <v>15603195.199999999</v>
      </c>
      <c r="I571" s="21">
        <f t="shared" ref="I571:I576" si="26">G571-H571</f>
        <v>-62008.529999999329</v>
      </c>
      <c r="J571" s="79">
        <f t="shared" ref="J571:J576" si="27">I571/G571</f>
        <v>-3.9899482141667972E-3</v>
      </c>
    </row>
    <row r="572" spans="2:10" x14ac:dyDescent="0.25">
      <c r="B572" t="s">
        <v>107</v>
      </c>
      <c r="G572" s="21">
        <v>1635834.889</v>
      </c>
      <c r="H572" s="21">
        <v>1103353.54</v>
      </c>
      <c r="I572" s="21">
        <f t="shared" si="26"/>
        <v>532481.34899999993</v>
      </c>
      <c r="J572" s="79">
        <f t="shared" si="27"/>
        <v>0.32551044887269176</v>
      </c>
    </row>
    <row r="573" spans="2:10" x14ac:dyDescent="0.25">
      <c r="B573" t="s">
        <v>108</v>
      </c>
      <c r="G573" s="21">
        <v>73671658.329999998</v>
      </c>
      <c r="H573" s="21">
        <v>174974420.66</v>
      </c>
      <c r="I573" s="21">
        <f t="shared" si="26"/>
        <v>-101302762.33</v>
      </c>
      <c r="J573" s="79">
        <f t="shared" si="27"/>
        <v>-1.3750574457850677</v>
      </c>
    </row>
    <row r="574" spans="2:10" x14ac:dyDescent="0.25">
      <c r="B574" t="s">
        <v>109</v>
      </c>
      <c r="G574" s="21">
        <v>0</v>
      </c>
      <c r="H574" s="21">
        <v>25000</v>
      </c>
      <c r="I574" s="21">
        <f t="shared" si="26"/>
        <v>-25000</v>
      </c>
      <c r="J574" s="79" t="e">
        <f t="shared" si="27"/>
        <v>#DIV/0!</v>
      </c>
    </row>
    <row r="575" spans="2:10" x14ac:dyDescent="0.25">
      <c r="B575" t="s">
        <v>110</v>
      </c>
      <c r="G575" s="21">
        <v>28387218.300000001</v>
      </c>
      <c r="H575" s="21">
        <v>26881809.739999998</v>
      </c>
      <c r="I575" s="21">
        <f t="shared" si="26"/>
        <v>1505408.5600000024</v>
      </c>
      <c r="J575" s="79">
        <f t="shared" si="27"/>
        <v>5.3031210881271953E-2</v>
      </c>
    </row>
    <row r="576" spans="2:10" x14ac:dyDescent="0.25">
      <c r="B576" s="19" t="s">
        <v>391</v>
      </c>
      <c r="G576" s="140">
        <f>SUM(G570:G575)</f>
        <v>315179693.66899997</v>
      </c>
      <c r="H576" s="140">
        <f>SUM(H570:H575)</f>
        <v>397067103.15999997</v>
      </c>
      <c r="I576" s="141">
        <f t="shared" si="26"/>
        <v>-81887409.490999997</v>
      </c>
      <c r="J576" s="148">
        <f t="shared" si="27"/>
        <v>-0.25981181889527982</v>
      </c>
    </row>
    <row r="579" spans="2:10" x14ac:dyDescent="0.25">
      <c r="B579" s="19" t="s">
        <v>392</v>
      </c>
      <c r="G579" s="158"/>
      <c r="H579" s="158"/>
      <c r="I579" s="158"/>
      <c r="J579" s="158"/>
    </row>
    <row r="581" spans="2:10" x14ac:dyDescent="0.25">
      <c r="B581" t="s">
        <v>393</v>
      </c>
    </row>
    <row r="582" spans="2:10" x14ac:dyDescent="0.25">
      <c r="B582" t="s">
        <v>394</v>
      </c>
    </row>
    <row r="583" spans="2:10" x14ac:dyDescent="0.25">
      <c r="B583" t="s">
        <v>395</v>
      </c>
    </row>
    <row r="585" spans="2:10" x14ac:dyDescent="0.25">
      <c r="B585" s="19" t="s">
        <v>351</v>
      </c>
      <c r="G585" s="135">
        <v>2020</v>
      </c>
      <c r="H585" s="137">
        <v>2019</v>
      </c>
      <c r="I585" s="137" t="s">
        <v>350</v>
      </c>
      <c r="J585" s="147" t="s">
        <v>300</v>
      </c>
    </row>
    <row r="586" spans="2:10" x14ac:dyDescent="0.25">
      <c r="B586" t="s">
        <v>396</v>
      </c>
      <c r="G586" s="21">
        <v>195088873.53</v>
      </c>
      <c r="H586" s="21">
        <v>176088673.38</v>
      </c>
      <c r="I586" s="21">
        <f>G586-H586</f>
        <v>19000200.150000006</v>
      </c>
      <c r="J586" s="21">
        <f>I586/G586</f>
        <v>9.7392536059101448E-2</v>
      </c>
    </row>
    <row r="587" spans="2:10" x14ac:dyDescent="0.25">
      <c r="B587" t="s">
        <v>114</v>
      </c>
      <c r="G587" s="21">
        <v>854921.95</v>
      </c>
      <c r="H587" s="21">
        <v>2390650.64</v>
      </c>
      <c r="I587" s="21">
        <f t="shared" ref="I587:I588" si="28">G587-H587</f>
        <v>-1535728.6900000002</v>
      </c>
      <c r="J587" s="21">
        <f t="shared" ref="J587:J588" si="29">I587/G587</f>
        <v>-1.7963378879206462</v>
      </c>
    </row>
    <row r="588" spans="2:10" x14ac:dyDescent="0.25">
      <c r="B588" s="19" t="s">
        <v>397</v>
      </c>
      <c r="G588" s="140">
        <f>SUM(G586:G587)</f>
        <v>195943795.47999999</v>
      </c>
      <c r="H588" s="141">
        <f>SUM(H586:H587)</f>
        <v>178479324.01999998</v>
      </c>
      <c r="I588" s="141">
        <f t="shared" si="28"/>
        <v>17464471.460000008</v>
      </c>
      <c r="J588" s="148">
        <f t="shared" si="29"/>
        <v>8.9130004944619992E-2</v>
      </c>
    </row>
    <row r="591" spans="2:10" x14ac:dyDescent="0.25">
      <c r="B591" s="19" t="s">
        <v>398</v>
      </c>
      <c r="G591" s="158"/>
      <c r="H591" s="158"/>
      <c r="I591" s="158"/>
      <c r="J591" s="158"/>
    </row>
    <row r="593" spans="2:10" x14ac:dyDescent="0.25">
      <c r="B593" t="s">
        <v>399</v>
      </c>
    </row>
    <row r="594" spans="2:10" x14ac:dyDescent="0.25">
      <c r="B594" t="s">
        <v>400</v>
      </c>
    </row>
    <row r="595" spans="2:10" x14ac:dyDescent="0.25">
      <c r="B595" t="s">
        <v>401</v>
      </c>
    </row>
    <row r="597" spans="2:10" x14ac:dyDescent="0.25">
      <c r="B597" s="19" t="s">
        <v>351</v>
      </c>
      <c r="G597" s="135">
        <v>2020</v>
      </c>
      <c r="H597" s="137">
        <v>2019</v>
      </c>
      <c r="I597" s="137" t="s">
        <v>350</v>
      </c>
      <c r="J597" s="147" t="s">
        <v>300</v>
      </c>
    </row>
    <row r="598" spans="2:10" x14ac:dyDescent="0.25">
      <c r="B598" s="82" t="s">
        <v>404</v>
      </c>
      <c r="G598" s="192">
        <v>483329.48</v>
      </c>
      <c r="H598" s="191">
        <v>0</v>
      </c>
      <c r="I598" s="191">
        <v>0</v>
      </c>
      <c r="J598" s="191">
        <f>I598/G598</f>
        <v>0</v>
      </c>
    </row>
    <row r="599" spans="2:10" x14ac:dyDescent="0.25">
      <c r="B599" t="s">
        <v>402</v>
      </c>
      <c r="G599" s="21">
        <v>322674</v>
      </c>
      <c r="H599" s="21">
        <v>603140.30000000005</v>
      </c>
      <c r="I599" s="21">
        <f>G599-H599</f>
        <v>-280466.30000000005</v>
      </c>
      <c r="J599" s="21">
        <f>I599/G599</f>
        <v>-0.86919398526066571</v>
      </c>
    </row>
    <row r="600" spans="2:10" x14ac:dyDescent="0.25">
      <c r="B600" t="s">
        <v>403</v>
      </c>
      <c r="G600" s="21">
        <v>829841.71</v>
      </c>
      <c r="H600" s="21">
        <v>500213.24</v>
      </c>
      <c r="I600" s="21">
        <f t="shared" ref="I600:I601" si="30">G600-H600</f>
        <v>329628.46999999997</v>
      </c>
      <c r="J600" s="21">
        <f t="shared" ref="J600:J601" si="31">I600/G600</f>
        <v>0.39721848881276406</v>
      </c>
    </row>
    <row r="601" spans="2:10" x14ac:dyDescent="0.25">
      <c r="B601" s="19" t="s">
        <v>405</v>
      </c>
      <c r="G601" s="140">
        <f>SUM(G598:G600)</f>
        <v>1635845.19</v>
      </c>
      <c r="H601" s="141">
        <f>SUM(H598:H600)</f>
        <v>1103353.54</v>
      </c>
      <c r="I601" s="141">
        <f t="shared" si="30"/>
        <v>532491.64999999991</v>
      </c>
      <c r="J601" s="148">
        <f t="shared" si="31"/>
        <v>0.32551469616755113</v>
      </c>
    </row>
    <row r="604" spans="2:10" x14ac:dyDescent="0.25">
      <c r="B604" s="19" t="s">
        <v>406</v>
      </c>
    </row>
    <row r="606" spans="2:10" x14ac:dyDescent="0.25">
      <c r="B606" t="s">
        <v>407</v>
      </c>
    </row>
    <row r="607" spans="2:10" x14ac:dyDescent="0.25">
      <c r="B607" t="s">
        <v>408</v>
      </c>
    </row>
    <row r="609" spans="2:10" x14ac:dyDescent="0.25">
      <c r="B609" s="19" t="s">
        <v>351</v>
      </c>
      <c r="G609" s="135">
        <v>2020</v>
      </c>
      <c r="H609" s="137">
        <v>2019</v>
      </c>
      <c r="I609" s="137" t="s">
        <v>350</v>
      </c>
      <c r="J609" s="147" t="s">
        <v>300</v>
      </c>
    </row>
    <row r="610" spans="2:10" x14ac:dyDescent="0.25">
      <c r="B610" s="1" t="s">
        <v>122</v>
      </c>
      <c r="G610" s="21">
        <v>3894894</v>
      </c>
      <c r="H610" s="21">
        <v>0</v>
      </c>
      <c r="I610" s="21">
        <f>G610-H610</f>
        <v>3894894</v>
      </c>
      <c r="J610" s="21">
        <f>I610/G610</f>
        <v>1</v>
      </c>
    </row>
    <row r="611" spans="2:10" x14ac:dyDescent="0.25">
      <c r="B611" s="1" t="s">
        <v>123</v>
      </c>
      <c r="G611" s="21">
        <v>69776764.329999998</v>
      </c>
      <c r="H611" s="21">
        <v>4170450.51</v>
      </c>
      <c r="I611" s="21">
        <f t="shared" ref="I611:I612" si="32">G611-H611</f>
        <v>65606313.82</v>
      </c>
      <c r="J611" s="21">
        <f t="shared" ref="J611:J613" si="33">I611/G611</f>
        <v>0.94023152907640717</v>
      </c>
    </row>
    <row r="612" spans="2:10" x14ac:dyDescent="0.25">
      <c r="B612" s="1" t="s">
        <v>272</v>
      </c>
      <c r="G612" s="21">
        <v>0</v>
      </c>
      <c r="H612" s="21">
        <v>170803970.15000001</v>
      </c>
      <c r="I612" s="21">
        <f t="shared" si="32"/>
        <v>-170803970.15000001</v>
      </c>
      <c r="J612" s="21" t="e">
        <f t="shared" si="33"/>
        <v>#DIV/0!</v>
      </c>
    </row>
    <row r="613" spans="2:10" x14ac:dyDescent="0.25">
      <c r="B613" s="6" t="s">
        <v>409</v>
      </c>
      <c r="G613" s="193">
        <f>SUM(G610:G612)</f>
        <v>73671658.329999998</v>
      </c>
      <c r="H613" s="193">
        <f>SUM(H610:H612)</f>
        <v>174974420.66</v>
      </c>
      <c r="I613" s="194">
        <f>G613-H613</f>
        <v>-101302762.33</v>
      </c>
      <c r="J613" s="148">
        <f t="shared" si="33"/>
        <v>-1.3750574457850677</v>
      </c>
    </row>
    <row r="616" spans="2:10" x14ac:dyDescent="0.25">
      <c r="B616" s="19" t="s">
        <v>410</v>
      </c>
    </row>
    <row r="618" spans="2:10" x14ac:dyDescent="0.25">
      <c r="B618" t="s">
        <v>411</v>
      </c>
    </row>
    <row r="619" spans="2:10" x14ac:dyDescent="0.25">
      <c r="B619" t="s">
        <v>412</v>
      </c>
    </row>
    <row r="620" spans="2:10" x14ac:dyDescent="0.25">
      <c r="B620" t="s">
        <v>413</v>
      </c>
    </row>
    <row r="622" spans="2:10" x14ac:dyDescent="0.25">
      <c r="B622" s="19" t="s">
        <v>351</v>
      </c>
      <c r="G622" s="135">
        <v>2020</v>
      </c>
      <c r="H622" s="137">
        <v>2019</v>
      </c>
      <c r="I622" s="137" t="s">
        <v>350</v>
      </c>
      <c r="J622" s="147" t="s">
        <v>300</v>
      </c>
    </row>
    <row r="623" spans="2:10" x14ac:dyDescent="0.25">
      <c r="B623" s="1" t="s">
        <v>126</v>
      </c>
      <c r="G623" s="3">
        <v>13097467.289999999</v>
      </c>
      <c r="H623" s="21">
        <v>12415869.74</v>
      </c>
      <c r="I623" s="18">
        <f>G623-H623</f>
        <v>681597.54999999888</v>
      </c>
      <c r="J623" s="79">
        <f>I623/G623</f>
        <v>5.2040408646059612E-2</v>
      </c>
    </row>
    <row r="624" spans="2:10" x14ac:dyDescent="0.25">
      <c r="B624" s="1" t="s">
        <v>127</v>
      </c>
      <c r="G624" s="3">
        <v>13115078.039999999</v>
      </c>
      <c r="H624" s="21">
        <v>12433882.98</v>
      </c>
      <c r="I624" s="18">
        <f t="shared" ref="I624:I625" si="34">G624-H624</f>
        <v>681195.05999999866</v>
      </c>
      <c r="J624" s="79">
        <f t="shared" ref="J624:J625" si="35">I624/G624</f>
        <v>5.1939840382375542E-2</v>
      </c>
    </row>
    <row r="625" spans="2:10" x14ac:dyDescent="0.25">
      <c r="B625" s="1" t="s">
        <v>128</v>
      </c>
      <c r="G625" s="3">
        <v>2174672.9700000002</v>
      </c>
      <c r="H625" s="21">
        <v>2032057.02</v>
      </c>
      <c r="I625" s="18">
        <f t="shared" si="34"/>
        <v>142615.95000000019</v>
      </c>
      <c r="J625" s="79">
        <f t="shared" si="35"/>
        <v>6.5580412304476365E-2</v>
      </c>
    </row>
    <row r="626" spans="2:10" x14ac:dyDescent="0.25">
      <c r="B626" s="6" t="s">
        <v>414</v>
      </c>
      <c r="G626" s="149">
        <f>SUM(G623:G625)</f>
        <v>28387218.299999997</v>
      </c>
      <c r="H626" s="149">
        <f>SUM(H623:H625)</f>
        <v>26881809.739999998</v>
      </c>
      <c r="I626" s="150">
        <f>G626-H626</f>
        <v>1505408.5599999987</v>
      </c>
      <c r="J626" s="148">
        <f>I626/G626</f>
        <v>5.3031210881271829E-2</v>
      </c>
    </row>
    <row r="630" spans="2:10" x14ac:dyDescent="0.25">
      <c r="B630" s="19" t="s">
        <v>415</v>
      </c>
    </row>
    <row r="632" spans="2:10" x14ac:dyDescent="0.25">
      <c r="B632" t="s">
        <v>416</v>
      </c>
    </row>
    <row r="633" spans="2:10" x14ac:dyDescent="0.25">
      <c r="B633" t="s">
        <v>419</v>
      </c>
    </row>
    <row r="634" spans="2:10" x14ac:dyDescent="0.25">
      <c r="B634" t="s">
        <v>417</v>
      </c>
    </row>
    <row r="636" spans="2:10" x14ac:dyDescent="0.25">
      <c r="B636" s="19" t="s">
        <v>351</v>
      </c>
      <c r="G636" s="135">
        <v>2020</v>
      </c>
      <c r="H636" s="137">
        <v>2019</v>
      </c>
      <c r="I636" s="137" t="s">
        <v>350</v>
      </c>
      <c r="J636" s="147" t="s">
        <v>300</v>
      </c>
    </row>
    <row r="637" spans="2:10" x14ac:dyDescent="0.25">
      <c r="B637" s="1" t="s">
        <v>130</v>
      </c>
      <c r="G637" s="21">
        <v>188500</v>
      </c>
      <c r="H637" s="21">
        <v>57900</v>
      </c>
      <c r="I637" s="21">
        <f>G637-H637</f>
        <v>130600</v>
      </c>
      <c r="J637" s="79">
        <f>I637/G637</f>
        <v>0.69283819628647214</v>
      </c>
    </row>
    <row r="638" spans="2:10" x14ac:dyDescent="0.25">
      <c r="B638" s="1" t="s">
        <v>131</v>
      </c>
      <c r="G638" s="21">
        <v>212255.4</v>
      </c>
      <c r="H638" s="21">
        <v>869022.15</v>
      </c>
      <c r="I638" s="21">
        <f>G638-H638</f>
        <v>-656766.75</v>
      </c>
      <c r="J638" s="79">
        <f>I638/G638</f>
        <v>-3.0942286980684592</v>
      </c>
    </row>
    <row r="639" spans="2:10" x14ac:dyDescent="0.25">
      <c r="B639" s="19" t="s">
        <v>418</v>
      </c>
      <c r="G639" s="140">
        <f>SUM(G637:G638)</f>
        <v>400755.4</v>
      </c>
      <c r="H639" s="140">
        <f>SUM(H637:H638)</f>
        <v>926922.15</v>
      </c>
      <c r="I639" s="141">
        <f>G639-H639</f>
        <v>-526166.75</v>
      </c>
      <c r="J639" s="148">
        <f>I639/G639</f>
        <v>-1.3129373927338222</v>
      </c>
    </row>
    <row r="640" spans="2:10" x14ac:dyDescent="0.25">
      <c r="B640" t="s">
        <v>251</v>
      </c>
      <c r="G640" s="21"/>
      <c r="H640" s="21"/>
      <c r="I640" s="21"/>
      <c r="J640" s="21"/>
    </row>
    <row r="643" spans="2:10" x14ac:dyDescent="0.25">
      <c r="B643" s="19" t="s">
        <v>420</v>
      </c>
    </row>
    <row r="645" spans="2:10" x14ac:dyDescent="0.25">
      <c r="B645" t="s">
        <v>421</v>
      </c>
    </row>
    <row r="646" spans="2:10" x14ac:dyDescent="0.25">
      <c r="B646" t="s">
        <v>422</v>
      </c>
    </row>
    <row r="647" spans="2:10" x14ac:dyDescent="0.25">
      <c r="B647" t="s">
        <v>423</v>
      </c>
    </row>
    <row r="649" spans="2:10" x14ac:dyDescent="0.25">
      <c r="B649" s="19" t="s">
        <v>351</v>
      </c>
      <c r="G649" s="135">
        <v>2020</v>
      </c>
      <c r="H649" s="137">
        <v>2019</v>
      </c>
      <c r="I649" s="137" t="s">
        <v>350</v>
      </c>
      <c r="J649" s="147" t="s">
        <v>300</v>
      </c>
    </row>
    <row r="650" spans="2:10" x14ac:dyDescent="0.25">
      <c r="B650" s="1" t="s">
        <v>134</v>
      </c>
      <c r="G650" s="21">
        <v>5904996.0300000003</v>
      </c>
      <c r="H650" s="21">
        <v>7993657.1600000001</v>
      </c>
      <c r="I650" s="21">
        <f>G650-H650</f>
        <v>-2088661.13</v>
      </c>
      <c r="J650" s="79">
        <f>I650/G650</f>
        <v>-0.35371084406977998</v>
      </c>
    </row>
    <row r="651" spans="2:10" x14ac:dyDescent="0.25">
      <c r="B651" s="1" t="s">
        <v>135</v>
      </c>
      <c r="G651" s="21">
        <v>1158372.08</v>
      </c>
      <c r="H651" s="21">
        <v>1198006.69</v>
      </c>
      <c r="I651" s="21">
        <f t="shared" ref="I651:I659" si="36">G651-H651</f>
        <v>-39634.60999999987</v>
      </c>
      <c r="J651" s="79">
        <f t="shared" ref="J651:J659" si="37">I651/G651</f>
        <v>-3.4215784966087813E-2</v>
      </c>
    </row>
    <row r="652" spans="2:10" x14ac:dyDescent="0.25">
      <c r="B652" s="1" t="s">
        <v>136</v>
      </c>
      <c r="G652" s="21">
        <v>4653735.84</v>
      </c>
      <c r="H652" s="21">
        <v>9211152.3399999999</v>
      </c>
      <c r="I652" s="21">
        <f t="shared" si="36"/>
        <v>-4557416.5</v>
      </c>
      <c r="J652" s="79">
        <f t="shared" si="37"/>
        <v>-0.97930279171152956</v>
      </c>
    </row>
    <row r="653" spans="2:10" x14ac:dyDescent="0.25">
      <c r="B653" s="1" t="s">
        <v>137</v>
      </c>
      <c r="G653" s="21">
        <v>40270590.119999997</v>
      </c>
      <c r="H653" s="21">
        <v>71607277.760000005</v>
      </c>
      <c r="I653" s="21">
        <f t="shared" si="36"/>
        <v>-31336687.640000008</v>
      </c>
      <c r="J653" s="79">
        <f t="shared" si="37"/>
        <v>-0.77815317696168917</v>
      </c>
    </row>
    <row r="654" spans="2:10" x14ac:dyDescent="0.25">
      <c r="B654" s="1" t="s">
        <v>138</v>
      </c>
      <c r="G654" s="21">
        <v>7506470.5</v>
      </c>
      <c r="H654" s="21">
        <v>3673831.29</v>
      </c>
      <c r="I654" s="21">
        <f t="shared" si="36"/>
        <v>3832639.21</v>
      </c>
      <c r="J654" s="79">
        <f t="shared" si="37"/>
        <v>0.5105780686142708</v>
      </c>
    </row>
    <row r="655" spans="2:10" x14ac:dyDescent="0.25">
      <c r="B655" s="1" t="s">
        <v>139</v>
      </c>
      <c r="G655" s="21">
        <v>649279.31999999995</v>
      </c>
      <c r="H655" s="21">
        <v>347274</v>
      </c>
      <c r="I655" s="21">
        <f t="shared" si="36"/>
        <v>302005.31999999995</v>
      </c>
      <c r="J655" s="79">
        <f t="shared" si="37"/>
        <v>0.46513928704829222</v>
      </c>
    </row>
    <row r="656" spans="2:10" x14ac:dyDescent="0.25">
      <c r="B656" s="1" t="s">
        <v>140</v>
      </c>
      <c r="G656" s="21">
        <v>3921660.35</v>
      </c>
      <c r="H656" s="21">
        <v>1532384.27</v>
      </c>
      <c r="I656" s="21">
        <f t="shared" si="36"/>
        <v>2389276.08</v>
      </c>
      <c r="J656" s="79">
        <f t="shared" si="37"/>
        <v>0.60925115047252887</v>
      </c>
    </row>
    <row r="657" spans="2:10" x14ac:dyDescent="0.25">
      <c r="B657" s="1" t="s">
        <v>141</v>
      </c>
      <c r="G657" s="21">
        <v>11629335.59</v>
      </c>
      <c r="H657" s="21">
        <v>16168211.26</v>
      </c>
      <c r="I657" s="21">
        <f t="shared" si="36"/>
        <v>-4538875.67</v>
      </c>
      <c r="J657" s="79">
        <f t="shared" si="37"/>
        <v>-0.39029535564378703</v>
      </c>
    </row>
    <row r="658" spans="2:10" x14ac:dyDescent="0.25">
      <c r="B658" s="1" t="s">
        <v>142</v>
      </c>
      <c r="G658" s="21">
        <v>123009547.20999999</v>
      </c>
      <c r="H658" s="21">
        <v>301898632.95999998</v>
      </c>
      <c r="I658" s="21">
        <f t="shared" si="36"/>
        <v>-178889085.75</v>
      </c>
      <c r="J658" s="79">
        <f t="shared" si="37"/>
        <v>-1.4542699311347218</v>
      </c>
    </row>
    <row r="659" spans="2:10" x14ac:dyDescent="0.25">
      <c r="B659" s="1" t="s">
        <v>143</v>
      </c>
      <c r="G659" s="21">
        <v>18539738.550000001</v>
      </c>
      <c r="H659" s="21">
        <v>38213874.719999999</v>
      </c>
      <c r="I659" s="21">
        <f t="shared" si="36"/>
        <v>-19674136.169999998</v>
      </c>
      <c r="J659" s="79">
        <f t="shared" si="37"/>
        <v>-1.0611873580061892</v>
      </c>
    </row>
    <row r="660" spans="2:10" x14ac:dyDescent="0.25">
      <c r="B660" s="6" t="s">
        <v>144</v>
      </c>
      <c r="G660" s="140">
        <f>SUM(G650:G659)</f>
        <v>217243725.59</v>
      </c>
      <c r="H660" s="140">
        <f>SUM(H650:H659)</f>
        <v>451844302.45000005</v>
      </c>
      <c r="I660" s="141">
        <f>G660-H660</f>
        <v>-234600576.86000004</v>
      </c>
      <c r="J660" s="148">
        <f>I660/G660</f>
        <v>-1.0798957540562406</v>
      </c>
    </row>
    <row r="661" spans="2:10" x14ac:dyDescent="0.25">
      <c r="G661" t="s">
        <v>251</v>
      </c>
    </row>
    <row r="664" spans="2:10" x14ac:dyDescent="0.25">
      <c r="B664" s="19" t="s">
        <v>424</v>
      </c>
    </row>
    <row r="665" spans="2:10" x14ac:dyDescent="0.25">
      <c r="B665" s="19"/>
    </row>
    <row r="666" spans="2:10" x14ac:dyDescent="0.25">
      <c r="B666" s="19" t="s">
        <v>425</v>
      </c>
    </row>
    <row r="667" spans="2:10" x14ac:dyDescent="0.25">
      <c r="B667" s="19" t="s">
        <v>426</v>
      </c>
    </row>
    <row r="668" spans="2:10" x14ac:dyDescent="0.25">
      <c r="B668" s="19" t="s">
        <v>427</v>
      </c>
    </row>
    <row r="669" spans="2:10" x14ac:dyDescent="0.25">
      <c r="B669" s="19"/>
    </row>
    <row r="670" spans="2:10" x14ac:dyDescent="0.25">
      <c r="B670" s="19" t="s">
        <v>12</v>
      </c>
      <c r="G670" s="135">
        <v>2020</v>
      </c>
      <c r="H670" s="137">
        <v>2019</v>
      </c>
      <c r="I670" s="137" t="s">
        <v>350</v>
      </c>
      <c r="J670" s="147" t="s">
        <v>300</v>
      </c>
    </row>
    <row r="671" spans="2:10" x14ac:dyDescent="0.25">
      <c r="B671" s="195" t="s">
        <v>146</v>
      </c>
      <c r="G671" s="3">
        <v>195719.84856059583</v>
      </c>
      <c r="H671" s="21">
        <v>311871.53000000003</v>
      </c>
      <c r="I671" s="18">
        <f>G671-H671</f>
        <v>-116151.6814394042</v>
      </c>
      <c r="J671" s="79">
        <f>I671/G671</f>
        <v>-0.59345887651983886</v>
      </c>
    </row>
    <row r="672" spans="2:10" x14ac:dyDescent="0.25">
      <c r="B672" s="195" t="s">
        <v>147</v>
      </c>
      <c r="G672" s="3">
        <v>988268.56579899916</v>
      </c>
      <c r="H672" s="21">
        <v>1740085.82</v>
      </c>
      <c r="I672" s="18">
        <f t="shared" ref="I672:I675" si="38">G672-H672</f>
        <v>-751817.25420100091</v>
      </c>
      <c r="J672" s="79">
        <f t="shared" ref="J672:J675" si="39">I672/G672</f>
        <v>-0.76074184712448967</v>
      </c>
    </row>
    <row r="673" spans="2:10" x14ac:dyDescent="0.25">
      <c r="B673" s="195" t="s">
        <v>148</v>
      </c>
      <c r="G673" s="3">
        <v>38809.219480460481</v>
      </c>
      <c r="H673" s="21">
        <v>70918.44</v>
      </c>
      <c r="I673" s="18">
        <f t="shared" si="38"/>
        <v>-32109.220519539522</v>
      </c>
      <c r="J673" s="79">
        <f t="shared" si="39"/>
        <v>-0.82736063619382372</v>
      </c>
    </row>
    <row r="674" spans="2:10" x14ac:dyDescent="0.25">
      <c r="B674" s="195" t="s">
        <v>149</v>
      </c>
      <c r="G674" s="3">
        <v>1786941.2913101129</v>
      </c>
      <c r="H674" s="21">
        <v>3460539.58</v>
      </c>
      <c r="I674" s="18">
        <f t="shared" si="38"/>
        <v>-1673598.2886898872</v>
      </c>
      <c r="J674" s="79">
        <f t="shared" si="39"/>
        <v>-0.93657150172117443</v>
      </c>
    </row>
    <row r="675" spans="2:10" x14ac:dyDescent="0.25">
      <c r="B675" s="195" t="s">
        <v>150</v>
      </c>
      <c r="G675" s="3">
        <v>11827818.732571531</v>
      </c>
      <c r="H675" s="21">
        <v>18418038.629999999</v>
      </c>
      <c r="I675" s="18">
        <f t="shared" si="38"/>
        <v>-6590219.8974284679</v>
      </c>
      <c r="J675" s="79">
        <f t="shared" si="39"/>
        <v>-0.55717964964074684</v>
      </c>
    </row>
    <row r="676" spans="2:10" x14ac:dyDescent="0.25">
      <c r="B676" s="6" t="s">
        <v>151</v>
      </c>
      <c r="G676" s="149">
        <f>SUM(G671:G675)</f>
        <v>14837557.657721698</v>
      </c>
      <c r="H676" s="149">
        <f>SUM(H671:H675)</f>
        <v>24001454</v>
      </c>
      <c r="I676" s="150">
        <f>G676-H676</f>
        <v>-9163896.3422783017</v>
      </c>
      <c r="J676" s="148">
        <f>I676/G676</f>
        <v>-0.61761487663094372</v>
      </c>
    </row>
    <row r="680" spans="2:10" x14ac:dyDescent="0.25">
      <c r="B680" s="19" t="s">
        <v>428</v>
      </c>
    </row>
    <row r="682" spans="2:10" x14ac:dyDescent="0.25">
      <c r="B682" t="s">
        <v>429</v>
      </c>
    </row>
    <row r="683" spans="2:10" x14ac:dyDescent="0.25">
      <c r="B683" t="s">
        <v>431</v>
      </c>
    </row>
    <row r="684" spans="2:10" x14ac:dyDescent="0.25">
      <c r="B684" t="s">
        <v>430</v>
      </c>
    </row>
    <row r="686" spans="2:10" x14ac:dyDescent="0.25">
      <c r="B686" s="19" t="s">
        <v>351</v>
      </c>
      <c r="G686" s="135">
        <v>2020</v>
      </c>
      <c r="H686" s="137">
        <v>2019</v>
      </c>
      <c r="I686" s="137" t="s">
        <v>350</v>
      </c>
      <c r="J686" s="147" t="s">
        <v>300</v>
      </c>
    </row>
    <row r="687" spans="2:10" x14ac:dyDescent="0.25">
      <c r="B687" s="1" t="s">
        <v>168</v>
      </c>
      <c r="G687" s="21">
        <v>5886943.5800000001</v>
      </c>
      <c r="H687" s="21">
        <v>8363514.7400000002</v>
      </c>
      <c r="I687" s="21">
        <f>G687-H687</f>
        <v>-2476571.16</v>
      </c>
      <c r="J687" s="79">
        <f>I687/G687</f>
        <v>-0.42068878805188076</v>
      </c>
    </row>
    <row r="688" spans="2:10" x14ac:dyDescent="0.25">
      <c r="B688" s="1" t="s">
        <v>169</v>
      </c>
      <c r="G688" s="21">
        <v>4032.93</v>
      </c>
      <c r="H688" s="21">
        <v>205432.6</v>
      </c>
      <c r="I688" s="21">
        <f t="shared" ref="I688:I694" si="40">G688-H688</f>
        <v>-201399.67</v>
      </c>
      <c r="J688" s="79">
        <f t="shared" ref="J688:J694" si="41">I688/G688</f>
        <v>-49.938796358974749</v>
      </c>
    </row>
    <row r="689" spans="2:10" x14ac:dyDescent="0.25">
      <c r="B689" s="1" t="s">
        <v>170</v>
      </c>
      <c r="G689" s="21">
        <v>253772.82</v>
      </c>
      <c r="H689" s="21">
        <v>1856480.84</v>
      </c>
      <c r="I689" s="21">
        <f t="shared" si="40"/>
        <v>-1602708.02</v>
      </c>
      <c r="J689" s="79">
        <f t="shared" si="41"/>
        <v>-6.3155227577169217</v>
      </c>
    </row>
    <row r="690" spans="2:10" x14ac:dyDescent="0.25">
      <c r="B690" s="1" t="s">
        <v>171</v>
      </c>
      <c r="G690" s="21">
        <v>333360</v>
      </c>
      <c r="H690" s="21">
        <v>705438.4</v>
      </c>
      <c r="I690" s="21">
        <f t="shared" si="40"/>
        <v>-372078.4</v>
      </c>
      <c r="J690" s="79">
        <f t="shared" si="41"/>
        <v>-1.116145908327334</v>
      </c>
    </row>
    <row r="691" spans="2:10" x14ac:dyDescent="0.25">
      <c r="B691" s="1" t="s">
        <v>172</v>
      </c>
      <c r="G691" s="21">
        <v>3384671.62</v>
      </c>
      <c r="H691" s="21">
        <v>3136316.14</v>
      </c>
      <c r="I691" s="21">
        <f t="shared" si="40"/>
        <v>248355.47999999998</v>
      </c>
      <c r="J691" s="79">
        <f t="shared" si="41"/>
        <v>7.337653630339476E-2</v>
      </c>
    </row>
    <row r="692" spans="2:10" x14ac:dyDescent="0.25">
      <c r="B692" s="1" t="s">
        <v>271</v>
      </c>
      <c r="G692" s="21">
        <v>1025230.59</v>
      </c>
      <c r="H692" s="21">
        <v>1013168.32</v>
      </c>
      <c r="I692" s="21">
        <f t="shared" si="40"/>
        <v>12062.270000000019</v>
      </c>
      <c r="J692" s="79">
        <f t="shared" si="41"/>
        <v>1.1765421474597261E-2</v>
      </c>
    </row>
    <row r="693" spans="2:10" x14ac:dyDescent="0.25">
      <c r="B693" s="1" t="s">
        <v>173</v>
      </c>
      <c r="G693" s="3">
        <v>10631171.890000001</v>
      </c>
      <c r="H693" s="21">
        <v>14490924.83</v>
      </c>
      <c r="I693" s="21">
        <f t="shared" si="40"/>
        <v>-3859752.9399999995</v>
      </c>
      <c r="J693" s="79">
        <f t="shared" si="41"/>
        <v>-0.36305996929939577</v>
      </c>
    </row>
    <row r="694" spans="2:10" x14ac:dyDescent="0.25">
      <c r="B694" s="1" t="s">
        <v>174</v>
      </c>
      <c r="G694" s="3">
        <v>11550158.039999999</v>
      </c>
      <c r="H694" s="21">
        <v>15778983.26</v>
      </c>
      <c r="I694" s="21">
        <f t="shared" si="40"/>
        <v>-4228825.2200000007</v>
      </c>
      <c r="J694" s="79">
        <f t="shared" si="41"/>
        <v>-0.36612704392051776</v>
      </c>
    </row>
    <row r="695" spans="2:10" x14ac:dyDescent="0.25">
      <c r="B695" s="6" t="s">
        <v>175</v>
      </c>
      <c r="G695" s="149">
        <f>SUM(G687:G694)</f>
        <v>33069341.469999999</v>
      </c>
      <c r="H695" s="149">
        <f>SUM(H687:H694)</f>
        <v>45550259.130000003</v>
      </c>
      <c r="I695" s="150">
        <f>G695-H695</f>
        <v>-12480917.660000004</v>
      </c>
      <c r="J695" s="148">
        <f>I695/G695</f>
        <v>-0.37741657696215397</v>
      </c>
    </row>
  </sheetData>
  <mergeCells count="7">
    <mergeCell ref="B320:F320"/>
    <mergeCell ref="B314:F314"/>
    <mergeCell ref="B315:F315"/>
    <mergeCell ref="B316:F316"/>
    <mergeCell ref="B317:F317"/>
    <mergeCell ref="B318:F318"/>
    <mergeCell ref="B319:F3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opLeftCell="B60" workbookViewId="0">
      <selection activeCell="N60" sqref="N60"/>
    </sheetView>
  </sheetViews>
  <sheetFormatPr baseColWidth="10" defaultRowHeight="15" x14ac:dyDescent="0.25"/>
  <cols>
    <col min="1" max="1" width="34.5703125" bestFit="1" customWidth="1"/>
    <col min="2" max="2" width="2.7109375" customWidth="1"/>
    <col min="3" max="3" width="16.85546875" bestFit="1" customWidth="1"/>
    <col min="4" max="4" width="2.7109375" customWidth="1"/>
    <col min="5" max="5" width="15.140625" bestFit="1" customWidth="1"/>
    <col min="6" max="6" width="2.7109375" customWidth="1"/>
    <col min="7" max="7" width="14.85546875" bestFit="1" customWidth="1"/>
    <col min="8" max="8" width="15.85546875" bestFit="1" customWidth="1"/>
    <col min="11" max="11" width="31.5703125" customWidth="1"/>
    <col min="13" max="13" width="16.28515625" customWidth="1"/>
    <col min="14" max="14" width="4" customWidth="1"/>
    <col min="15" max="15" width="15.5703125" customWidth="1"/>
    <col min="16" max="16" width="2.28515625" customWidth="1"/>
    <col min="17" max="17" width="16.7109375" customWidth="1"/>
    <col min="18" max="18" width="18.42578125" customWidth="1"/>
  </cols>
  <sheetData>
    <row r="1" spans="1:9" x14ac:dyDescent="0.25">
      <c r="A1" s="107" t="s">
        <v>176</v>
      </c>
      <c r="B1" s="107"/>
      <c r="C1" s="107"/>
      <c r="D1" s="107"/>
      <c r="E1" s="107"/>
      <c r="F1" s="107"/>
      <c r="G1" s="107"/>
      <c r="H1" s="107"/>
      <c r="I1" s="107"/>
    </row>
    <row r="2" spans="1:9" ht="45" x14ac:dyDescent="0.25">
      <c r="A2" s="24"/>
      <c r="B2" s="25"/>
      <c r="C2" s="26" t="s">
        <v>64</v>
      </c>
      <c r="D2" s="25"/>
      <c r="E2" s="26" t="s">
        <v>65</v>
      </c>
      <c r="F2" s="25"/>
      <c r="G2" s="51" t="s">
        <v>66</v>
      </c>
      <c r="H2" s="52" t="s">
        <v>67</v>
      </c>
      <c r="I2" s="44"/>
    </row>
    <row r="3" spans="1:9" x14ac:dyDescent="0.25">
      <c r="A3" s="27" t="s">
        <v>189</v>
      </c>
      <c r="B3" s="25"/>
      <c r="C3" s="28">
        <v>435917181.16000003</v>
      </c>
      <c r="D3" s="29"/>
      <c r="E3" s="28">
        <v>111980014.55</v>
      </c>
      <c r="F3" s="29"/>
      <c r="G3" s="43">
        <v>2050790.8</v>
      </c>
      <c r="H3" s="43">
        <f>SUM(C3:G3)</f>
        <v>549947986.50999999</v>
      </c>
      <c r="I3" s="44"/>
    </row>
    <row r="4" spans="1:9" ht="15.75" thickBot="1" x14ac:dyDescent="0.3">
      <c r="A4" s="30" t="s">
        <v>68</v>
      </c>
      <c r="B4" s="25"/>
      <c r="C4" s="64"/>
      <c r="D4" s="65"/>
      <c r="E4" s="64"/>
      <c r="F4" s="65"/>
      <c r="G4" s="87"/>
      <c r="H4" s="66">
        <f>SUM(C4:G4)</f>
        <v>0</v>
      </c>
      <c r="I4" s="44"/>
    </row>
    <row r="5" spans="1:9" ht="15.75" thickBot="1" x14ac:dyDescent="0.3">
      <c r="A5" s="30" t="s">
        <v>70</v>
      </c>
      <c r="B5" s="25"/>
      <c r="C5" s="31">
        <f>SUM(C3:C4)</f>
        <v>435917181.16000003</v>
      </c>
      <c r="D5" s="29"/>
      <c r="E5" s="31">
        <f>SUM(E3:E4)</f>
        <v>111980014.55</v>
      </c>
      <c r="F5" s="29"/>
      <c r="G5" s="45">
        <f>SUM(G3:G4)</f>
        <v>2050790.8</v>
      </c>
      <c r="H5" s="45">
        <f>SUM(H3:H4)</f>
        <v>549947986.50999999</v>
      </c>
      <c r="I5" s="44"/>
    </row>
    <row r="6" spans="1:9" ht="15.75" thickTop="1" x14ac:dyDescent="0.25">
      <c r="A6" s="27" t="s">
        <v>71</v>
      </c>
      <c r="B6" s="25"/>
      <c r="C6" s="32"/>
      <c r="D6" s="29"/>
      <c r="E6" s="32"/>
      <c r="F6" s="29"/>
      <c r="G6" s="46"/>
      <c r="H6" s="46"/>
      <c r="I6" s="44"/>
    </row>
    <row r="7" spans="1:9" x14ac:dyDescent="0.25">
      <c r="A7" s="30" t="s">
        <v>72</v>
      </c>
      <c r="B7" s="25"/>
      <c r="C7" s="28">
        <v>-335989468.41000003</v>
      </c>
      <c r="D7" s="29"/>
      <c r="E7" s="28">
        <v>-71732563.510000005</v>
      </c>
      <c r="F7" s="29"/>
      <c r="G7" s="43">
        <v>-1274602.4099999999</v>
      </c>
      <c r="H7" s="43">
        <f>SUM(C7:G7)</f>
        <v>-408996634.33000004</v>
      </c>
      <c r="I7" s="44"/>
    </row>
    <row r="8" spans="1:9" x14ac:dyDescent="0.25">
      <c r="A8" s="30" t="s">
        <v>73</v>
      </c>
      <c r="B8" s="25"/>
      <c r="C8" s="64"/>
      <c r="D8" s="65"/>
      <c r="E8" s="64"/>
      <c r="F8" s="65"/>
      <c r="G8" s="66"/>
      <c r="H8" s="66">
        <f>SUM(C8:G8)</f>
        <v>0</v>
      </c>
      <c r="I8" s="44"/>
    </row>
    <row r="9" spans="1:9" ht="15.75" thickBot="1" x14ac:dyDescent="0.3">
      <c r="A9" s="30" t="s">
        <v>69</v>
      </c>
      <c r="B9" s="25"/>
      <c r="C9" s="63">
        <v>0</v>
      </c>
      <c r="D9" s="29"/>
      <c r="E9" s="63">
        <v>0</v>
      </c>
      <c r="F9" s="29"/>
      <c r="G9" s="63">
        <v>0</v>
      </c>
      <c r="H9" s="62">
        <f>SUM(C9:G9)</f>
        <v>0</v>
      </c>
      <c r="I9" s="44"/>
    </row>
    <row r="10" spans="1:9" ht="15.75" thickBot="1" x14ac:dyDescent="0.3">
      <c r="A10" s="30" t="s">
        <v>74</v>
      </c>
      <c r="B10" s="25"/>
      <c r="C10" s="33">
        <f>SUM(C7:C9)</f>
        <v>-335989468.41000003</v>
      </c>
      <c r="D10" s="29"/>
      <c r="E10" s="33">
        <f>SUM(E7:E9)</f>
        <v>-71732563.510000005</v>
      </c>
      <c r="F10" s="29"/>
      <c r="G10" s="47">
        <f>SUM(G7:G9)</f>
        <v>-1274602.4099999999</v>
      </c>
      <c r="H10" s="48">
        <f>SUM(H7:H9)</f>
        <v>-408996634.33000004</v>
      </c>
      <c r="I10" s="44"/>
    </row>
    <row r="11" spans="1:9" ht="15.75" thickBot="1" x14ac:dyDescent="0.3">
      <c r="A11" s="34" t="s">
        <v>190</v>
      </c>
      <c r="B11" s="25"/>
      <c r="C11" s="35">
        <f t="shared" ref="C11:G11" si="0">+C5+C10</f>
        <v>99927712.75</v>
      </c>
      <c r="D11" s="29"/>
      <c r="E11" s="35">
        <f t="shared" si="0"/>
        <v>40247451.039999992</v>
      </c>
      <c r="F11" s="29"/>
      <c r="G11" s="49">
        <f t="shared" si="0"/>
        <v>776188.39000000013</v>
      </c>
      <c r="H11" s="49">
        <f>+H5+H10</f>
        <v>140951352.17999995</v>
      </c>
      <c r="I11" s="44"/>
    </row>
    <row r="12" spans="1:9" ht="15.75" thickTop="1" x14ac:dyDescent="0.25"/>
    <row r="13" spans="1:9" x14ac:dyDescent="0.25">
      <c r="A13" s="107" t="s">
        <v>177</v>
      </c>
      <c r="B13" s="107"/>
      <c r="C13" s="107"/>
      <c r="D13" s="107"/>
      <c r="E13" s="107"/>
      <c r="F13" s="107"/>
      <c r="G13" s="107"/>
      <c r="H13" s="107"/>
      <c r="I13" s="107"/>
    </row>
    <row r="14" spans="1:9" ht="45" x14ac:dyDescent="0.25">
      <c r="A14" s="24"/>
      <c r="B14" s="25"/>
      <c r="C14" s="26" t="s">
        <v>64</v>
      </c>
      <c r="D14" s="25"/>
      <c r="E14" s="26" t="s">
        <v>65</v>
      </c>
      <c r="F14" s="25"/>
      <c r="G14" s="51" t="s">
        <v>66</v>
      </c>
      <c r="H14" s="52" t="s">
        <v>67</v>
      </c>
      <c r="I14" s="44"/>
    </row>
    <row r="15" spans="1:9" x14ac:dyDescent="0.25">
      <c r="A15" s="27" t="s">
        <v>189</v>
      </c>
      <c r="B15" s="25"/>
      <c r="C15" s="28">
        <v>435917181.16000003</v>
      </c>
      <c r="D15" s="29"/>
      <c r="E15" s="28">
        <v>111980014.55</v>
      </c>
      <c r="F15" s="29"/>
      <c r="G15" s="43">
        <v>2050790.8</v>
      </c>
      <c r="H15" s="43">
        <f>SUM(C15:G15)</f>
        <v>549947986.50999999</v>
      </c>
      <c r="I15" s="44"/>
    </row>
    <row r="16" spans="1:9" ht="15.75" thickBot="1" x14ac:dyDescent="0.3">
      <c r="A16" s="30" t="s">
        <v>68</v>
      </c>
      <c r="B16" s="25"/>
      <c r="C16" s="64"/>
      <c r="D16" s="65"/>
      <c r="E16" s="64"/>
      <c r="F16" s="65"/>
      <c r="G16" s="87"/>
      <c r="H16" s="66">
        <f>SUM(C16:G16)</f>
        <v>0</v>
      </c>
      <c r="I16" s="44"/>
    </row>
    <row r="17" spans="1:9" ht="15.75" thickBot="1" x14ac:dyDescent="0.3">
      <c r="A17" s="30" t="s">
        <v>70</v>
      </c>
      <c r="B17" s="25"/>
      <c r="C17" s="31">
        <f>SUM(C15:C16)</f>
        <v>435917181.16000003</v>
      </c>
      <c r="D17" s="29"/>
      <c r="E17" s="31">
        <f>SUM(E15:E16)</f>
        <v>111980014.55</v>
      </c>
      <c r="F17" s="29"/>
      <c r="G17" s="45">
        <f>SUM(G15:G16)</f>
        <v>2050790.8</v>
      </c>
      <c r="H17" s="45">
        <f>SUM(H15:H16)</f>
        <v>549947986.50999999</v>
      </c>
      <c r="I17" s="44"/>
    </row>
    <row r="18" spans="1:9" ht="15.75" thickTop="1" x14ac:dyDescent="0.25">
      <c r="A18" s="27" t="s">
        <v>71</v>
      </c>
      <c r="B18" s="25"/>
      <c r="C18" s="32"/>
      <c r="D18" s="29"/>
      <c r="E18" s="32"/>
      <c r="F18" s="29"/>
      <c r="G18" s="46"/>
      <c r="H18" s="46"/>
      <c r="I18" s="44"/>
    </row>
    <row r="19" spans="1:9" x14ac:dyDescent="0.25">
      <c r="A19" s="30" t="s">
        <v>72</v>
      </c>
      <c r="B19" s="25"/>
      <c r="C19" s="28">
        <v>-335989468.41000003</v>
      </c>
      <c r="D19" s="29"/>
      <c r="E19" s="28">
        <v>-71732563.510000005</v>
      </c>
      <c r="F19" s="29"/>
      <c r="G19" s="43">
        <v>-1274602.4099999999</v>
      </c>
      <c r="H19" s="43">
        <f>SUM(C19:G19)</f>
        <v>-408996634.33000004</v>
      </c>
      <c r="I19" s="44"/>
    </row>
    <row r="20" spans="1:9" x14ac:dyDescent="0.25">
      <c r="A20" s="30" t="s">
        <v>73</v>
      </c>
      <c r="B20" s="25"/>
      <c r="C20" s="64"/>
      <c r="D20" s="65"/>
      <c r="E20" s="64"/>
      <c r="F20" s="65"/>
      <c r="G20" s="66"/>
      <c r="H20" s="66">
        <f>SUM(C20:G20)</f>
        <v>0</v>
      </c>
      <c r="I20" s="44"/>
    </row>
    <row r="21" spans="1:9" ht="15.75" thickBot="1" x14ac:dyDescent="0.3">
      <c r="A21" s="30" t="s">
        <v>69</v>
      </c>
      <c r="B21" s="25"/>
      <c r="C21" s="63">
        <v>0</v>
      </c>
      <c r="D21" s="29"/>
      <c r="E21" s="63">
        <v>0</v>
      </c>
      <c r="F21" s="29"/>
      <c r="G21" s="63">
        <v>0</v>
      </c>
      <c r="H21" s="62">
        <f>SUM(C21:G21)</f>
        <v>0</v>
      </c>
      <c r="I21" s="44"/>
    </row>
    <row r="22" spans="1:9" ht="15.75" thickBot="1" x14ac:dyDescent="0.3">
      <c r="A22" s="30" t="s">
        <v>74</v>
      </c>
      <c r="B22" s="25"/>
      <c r="C22" s="33">
        <f>SUM(C19:C21)</f>
        <v>-335989468.41000003</v>
      </c>
      <c r="D22" s="29"/>
      <c r="E22" s="33">
        <f>SUM(E19:E21)</f>
        <v>-71732563.510000005</v>
      </c>
      <c r="F22" s="29"/>
      <c r="G22" s="47">
        <f>SUM(G19:G21)</f>
        <v>-1274602.4099999999</v>
      </c>
      <c r="H22" s="48">
        <f>SUM(H19:H21)</f>
        <v>-408996634.33000004</v>
      </c>
      <c r="I22" s="44"/>
    </row>
    <row r="23" spans="1:9" ht="15.75" thickBot="1" x14ac:dyDescent="0.3">
      <c r="A23" s="34" t="s">
        <v>190</v>
      </c>
      <c r="B23" s="25"/>
      <c r="C23" s="35">
        <f t="shared" ref="C23" si="1">+C17+C22</f>
        <v>99927712.75</v>
      </c>
      <c r="D23" s="29"/>
      <c r="E23" s="35">
        <f t="shared" ref="E23" si="2">+E17+E22</f>
        <v>40247451.039999992</v>
      </c>
      <c r="F23" s="29"/>
      <c r="G23" s="49">
        <f t="shared" ref="G23" si="3">+G17+G22</f>
        <v>776188.39000000013</v>
      </c>
      <c r="H23" s="49">
        <f>+H17+H22</f>
        <v>140951352.17999995</v>
      </c>
      <c r="I23" s="44"/>
    </row>
    <row r="24" spans="1:9" ht="15.75" thickTop="1" x14ac:dyDescent="0.25"/>
    <row r="25" spans="1:9" x14ac:dyDescent="0.25">
      <c r="A25" s="107" t="s">
        <v>178</v>
      </c>
      <c r="B25" s="107"/>
      <c r="C25" s="107"/>
      <c r="D25" s="107"/>
      <c r="E25" s="107"/>
      <c r="F25" s="107"/>
      <c r="G25" s="107"/>
      <c r="H25" s="107"/>
      <c r="I25" s="107"/>
    </row>
    <row r="26" spans="1:9" ht="45" x14ac:dyDescent="0.25">
      <c r="A26" s="24"/>
      <c r="B26" s="25"/>
      <c r="C26" s="26" t="s">
        <v>64</v>
      </c>
      <c r="D26" s="25"/>
      <c r="E26" s="26" t="s">
        <v>65</v>
      </c>
      <c r="F26" s="25"/>
      <c r="G26" s="51" t="s">
        <v>66</v>
      </c>
      <c r="H26" s="52" t="s">
        <v>67</v>
      </c>
      <c r="I26" s="44"/>
    </row>
    <row r="27" spans="1:9" x14ac:dyDescent="0.25">
      <c r="A27" s="27" t="s">
        <v>189</v>
      </c>
      <c r="B27" s="25"/>
      <c r="C27" s="28">
        <v>435917181.16000003</v>
      </c>
      <c r="D27" s="29"/>
      <c r="E27" s="28">
        <v>111980014.55</v>
      </c>
      <c r="F27" s="29"/>
      <c r="G27" s="43">
        <v>2050790.8</v>
      </c>
      <c r="H27" s="43">
        <f>SUM(C27:G27)</f>
        <v>549947986.50999999</v>
      </c>
      <c r="I27" s="44"/>
    </row>
    <row r="28" spans="1:9" ht="15.75" thickBot="1" x14ac:dyDescent="0.3">
      <c r="A28" s="30" t="s">
        <v>68</v>
      </c>
      <c r="B28" s="25"/>
      <c r="C28" s="64"/>
      <c r="D28" s="65"/>
      <c r="E28" s="64"/>
      <c r="F28" s="65"/>
      <c r="G28" s="87"/>
      <c r="H28" s="66">
        <f>SUM(C28:G28)</f>
        <v>0</v>
      </c>
      <c r="I28" s="44"/>
    </row>
    <row r="29" spans="1:9" ht="15.75" thickBot="1" x14ac:dyDescent="0.3">
      <c r="A29" s="30" t="s">
        <v>70</v>
      </c>
      <c r="B29" s="25"/>
      <c r="C29" s="31">
        <f>SUM(C27:C28)</f>
        <v>435917181.16000003</v>
      </c>
      <c r="D29" s="29"/>
      <c r="E29" s="31">
        <f>SUM(E27:E28)</f>
        <v>111980014.55</v>
      </c>
      <c r="F29" s="29"/>
      <c r="G29" s="45">
        <f>SUM(G27:G28)</f>
        <v>2050790.8</v>
      </c>
      <c r="H29" s="45">
        <f>SUM(H27:H28)</f>
        <v>549947986.50999999</v>
      </c>
      <c r="I29" s="44"/>
    </row>
    <row r="30" spans="1:9" ht="15.75" thickTop="1" x14ac:dyDescent="0.25">
      <c r="A30" s="27" t="s">
        <v>71</v>
      </c>
      <c r="B30" s="25"/>
      <c r="C30" s="32"/>
      <c r="D30" s="29"/>
      <c r="E30" s="32"/>
      <c r="F30" s="29"/>
      <c r="G30" s="46"/>
      <c r="H30" s="46"/>
      <c r="I30" s="44"/>
    </row>
    <row r="31" spans="1:9" x14ac:dyDescent="0.25">
      <c r="A31" s="30" t="s">
        <v>72</v>
      </c>
      <c r="B31" s="25"/>
      <c r="C31" s="28">
        <v>-335989468.41000003</v>
      </c>
      <c r="D31" s="29"/>
      <c r="E31" s="28">
        <v>-71732563.510000005</v>
      </c>
      <c r="F31" s="29"/>
      <c r="G31" s="43">
        <v>-1274602.4099999999</v>
      </c>
      <c r="H31" s="43">
        <f>SUM(C31:G31)</f>
        <v>-408996634.33000004</v>
      </c>
      <c r="I31" s="44"/>
    </row>
    <row r="32" spans="1:9" x14ac:dyDescent="0.25">
      <c r="A32" s="30" t="s">
        <v>73</v>
      </c>
      <c r="B32" s="25"/>
      <c r="C32" s="64"/>
      <c r="D32" s="65"/>
      <c r="E32" s="64"/>
      <c r="F32" s="65"/>
      <c r="G32" s="66"/>
      <c r="H32" s="66">
        <f>SUM(C32:G32)</f>
        <v>0</v>
      </c>
      <c r="I32" s="44"/>
    </row>
    <row r="33" spans="1:9" ht="15.75" thickBot="1" x14ac:dyDescent="0.3">
      <c r="A33" s="30" t="s">
        <v>69</v>
      </c>
      <c r="B33" s="25"/>
      <c r="C33" s="63">
        <v>0</v>
      </c>
      <c r="D33" s="29"/>
      <c r="E33" s="63">
        <v>0</v>
      </c>
      <c r="F33" s="29"/>
      <c r="G33" s="63">
        <v>0</v>
      </c>
      <c r="H33" s="62">
        <f>SUM(C33:G33)</f>
        <v>0</v>
      </c>
      <c r="I33" s="44"/>
    </row>
    <row r="34" spans="1:9" ht="15.75" thickBot="1" x14ac:dyDescent="0.3">
      <c r="A34" s="30" t="s">
        <v>74</v>
      </c>
      <c r="B34" s="25"/>
      <c r="C34" s="33">
        <f>SUM(C31:C33)</f>
        <v>-335989468.41000003</v>
      </c>
      <c r="D34" s="29"/>
      <c r="E34" s="33">
        <f>SUM(E31:E33)</f>
        <v>-71732563.510000005</v>
      </c>
      <c r="F34" s="29"/>
      <c r="G34" s="47">
        <f>SUM(G31:G33)</f>
        <v>-1274602.4099999999</v>
      </c>
      <c r="H34" s="48">
        <f>SUM(H31:H33)</f>
        <v>-408996634.33000004</v>
      </c>
      <c r="I34" s="44"/>
    </row>
    <row r="35" spans="1:9" ht="15.75" thickBot="1" x14ac:dyDescent="0.3">
      <c r="A35" s="34" t="s">
        <v>190</v>
      </c>
      <c r="B35" s="25"/>
      <c r="C35" s="35">
        <f t="shared" ref="C35" si="4">+C29+C34</f>
        <v>99927712.75</v>
      </c>
      <c r="D35" s="29"/>
      <c r="E35" s="35">
        <f t="shared" ref="E35" si="5">+E29+E34</f>
        <v>40247451.039999992</v>
      </c>
      <c r="F35" s="29"/>
      <c r="G35" s="49">
        <f t="shared" ref="G35" si="6">+G29+G34</f>
        <v>776188.39000000013</v>
      </c>
      <c r="H35" s="49">
        <f>+H29+H34</f>
        <v>140951352.17999995</v>
      </c>
      <c r="I35" s="44"/>
    </row>
    <row r="36" spans="1:9" ht="15.75" thickTop="1" x14ac:dyDescent="0.25"/>
    <row r="37" spans="1:9" x14ac:dyDescent="0.25">
      <c r="A37" s="107" t="s">
        <v>179</v>
      </c>
      <c r="B37" s="107"/>
      <c r="C37" s="107"/>
      <c r="D37" s="107"/>
      <c r="E37" s="107"/>
      <c r="F37" s="107"/>
      <c r="G37" s="107"/>
      <c r="H37" s="107"/>
      <c r="I37" s="107"/>
    </row>
    <row r="38" spans="1:9" ht="45" x14ac:dyDescent="0.25">
      <c r="A38" s="24"/>
      <c r="B38" s="25" t="s">
        <v>322</v>
      </c>
      <c r="C38" s="26" t="s">
        <v>64</v>
      </c>
      <c r="D38" s="25"/>
      <c r="E38" s="26" t="s">
        <v>65</v>
      </c>
      <c r="F38" s="25"/>
      <c r="G38" s="51" t="s">
        <v>66</v>
      </c>
      <c r="H38" s="52" t="s">
        <v>67</v>
      </c>
      <c r="I38" s="44"/>
    </row>
    <row r="39" spans="1:9" x14ac:dyDescent="0.25">
      <c r="A39" s="27" t="s">
        <v>189</v>
      </c>
      <c r="B39" s="25"/>
      <c r="C39" s="28">
        <v>435917181.16000003</v>
      </c>
      <c r="D39" s="29"/>
      <c r="E39" s="28">
        <v>111980014.55</v>
      </c>
      <c r="F39" s="29"/>
      <c r="G39" s="43">
        <v>2050790.8</v>
      </c>
      <c r="H39" s="43">
        <f>SUM(C39:G39)</f>
        <v>549947986.50999999</v>
      </c>
      <c r="I39" s="44"/>
    </row>
    <row r="40" spans="1:9" ht="15.75" thickBot="1" x14ac:dyDescent="0.3">
      <c r="A40" s="30" t="s">
        <v>68</v>
      </c>
      <c r="B40" s="25"/>
      <c r="C40" s="64"/>
      <c r="D40" s="65"/>
      <c r="E40" s="64"/>
      <c r="F40" s="65"/>
      <c r="G40" s="87"/>
      <c r="H40" s="66">
        <f>SUM(C40:G40)</f>
        <v>0</v>
      </c>
      <c r="I40" s="44"/>
    </row>
    <row r="41" spans="1:9" ht="15.75" thickBot="1" x14ac:dyDescent="0.3">
      <c r="A41" s="30" t="s">
        <v>70</v>
      </c>
      <c r="B41" s="25"/>
      <c r="C41" s="31">
        <f>SUM(C39:C40)</f>
        <v>435917181.16000003</v>
      </c>
      <c r="D41" s="29"/>
      <c r="E41" s="31">
        <f>SUM(E39:E40)</f>
        <v>111980014.55</v>
      </c>
      <c r="F41" s="29"/>
      <c r="G41" s="45">
        <f>SUM(G39:G40)</f>
        <v>2050790.8</v>
      </c>
      <c r="H41" s="45">
        <f>SUM(H39:H40)</f>
        <v>549947986.50999999</v>
      </c>
      <c r="I41" s="44"/>
    </row>
    <row r="42" spans="1:9" ht="15.75" thickTop="1" x14ac:dyDescent="0.25">
      <c r="A42" s="27" t="s">
        <v>71</v>
      </c>
      <c r="B42" s="25"/>
      <c r="C42" s="32"/>
      <c r="D42" s="29"/>
      <c r="E42" s="32"/>
      <c r="F42" s="29"/>
      <c r="G42" s="46"/>
      <c r="H42" s="46"/>
      <c r="I42" s="44"/>
    </row>
    <row r="43" spans="1:9" x14ac:dyDescent="0.25">
      <c r="A43" s="30" t="s">
        <v>72</v>
      </c>
      <c r="B43" s="25"/>
      <c r="C43" s="28">
        <v>-335989468.41000003</v>
      </c>
      <c r="D43" s="29"/>
      <c r="E43" s="28">
        <v>-71732563.510000005</v>
      </c>
      <c r="F43" s="29"/>
      <c r="G43" s="43">
        <v>-1274602.4099999999</v>
      </c>
      <c r="H43" s="43">
        <f>SUM(C43:G43)</f>
        <v>-408996634.33000004</v>
      </c>
      <c r="I43" s="44"/>
    </row>
    <row r="44" spans="1:9" x14ac:dyDescent="0.25">
      <c r="A44" s="30" t="s">
        <v>73</v>
      </c>
      <c r="B44" s="25"/>
      <c r="C44" s="64"/>
      <c r="D44" s="65"/>
      <c r="E44" s="64"/>
      <c r="F44" s="65"/>
      <c r="G44" s="66"/>
      <c r="H44" s="66">
        <f>SUM(C44:G44)</f>
        <v>0</v>
      </c>
      <c r="I44" s="44"/>
    </row>
    <row r="45" spans="1:9" ht="15.75" thickBot="1" x14ac:dyDescent="0.3">
      <c r="A45" s="30" t="s">
        <v>69</v>
      </c>
      <c r="B45" s="25"/>
      <c r="C45" s="63">
        <v>0</v>
      </c>
      <c r="D45" s="29"/>
      <c r="E45" s="63">
        <v>0</v>
      </c>
      <c r="F45" s="29"/>
      <c r="G45" s="63">
        <v>0</v>
      </c>
      <c r="H45" s="62">
        <f>SUM(C45:G45)</f>
        <v>0</v>
      </c>
      <c r="I45" s="44"/>
    </row>
    <row r="46" spans="1:9" ht="15.75" thickBot="1" x14ac:dyDescent="0.3">
      <c r="A46" s="30" t="s">
        <v>74</v>
      </c>
      <c r="B46" s="25"/>
      <c r="C46" s="33">
        <f>SUM(C43:C45)</f>
        <v>-335989468.41000003</v>
      </c>
      <c r="D46" s="29"/>
      <c r="E46" s="33">
        <f>SUM(E43:E45)</f>
        <v>-71732563.510000005</v>
      </c>
      <c r="F46" s="29"/>
      <c r="G46" s="47">
        <f>SUM(G43:G45)</f>
        <v>-1274602.4099999999</v>
      </c>
      <c r="H46" s="48">
        <f>SUM(H43:H45)</f>
        <v>-408996634.33000004</v>
      </c>
      <c r="I46" s="44"/>
    </row>
    <row r="47" spans="1:9" ht="15.75" thickBot="1" x14ac:dyDescent="0.3">
      <c r="A47" s="34" t="s">
        <v>190</v>
      </c>
      <c r="B47" s="25"/>
      <c r="C47" s="35">
        <f t="shared" ref="C47" si="7">+C41+C46</f>
        <v>99927712.75</v>
      </c>
      <c r="D47" s="29"/>
      <c r="E47" s="35">
        <f t="shared" ref="E47" si="8">+E41+E46</f>
        <v>40247451.039999992</v>
      </c>
      <c r="F47" s="29"/>
      <c r="G47" s="49">
        <f t="shared" ref="G47" si="9">+G41+G46</f>
        <v>776188.39000000013</v>
      </c>
      <c r="H47" s="49">
        <f>+H41+H46</f>
        <v>140951352.17999995</v>
      </c>
      <c r="I47" s="44"/>
    </row>
    <row r="48" spans="1:9" ht="15.75" thickTop="1" x14ac:dyDescent="0.25"/>
    <row r="49" spans="1:19" x14ac:dyDescent="0.25">
      <c r="A49" s="107" t="s">
        <v>180</v>
      </c>
      <c r="B49" s="107"/>
      <c r="C49" s="107"/>
      <c r="D49" s="107"/>
      <c r="E49" s="107"/>
      <c r="F49" s="107"/>
      <c r="G49" s="107"/>
      <c r="H49" s="107"/>
      <c r="I49" s="107"/>
    </row>
    <row r="50" spans="1:19" ht="45" x14ac:dyDescent="0.25">
      <c r="A50" s="24"/>
      <c r="B50" s="25"/>
      <c r="C50" s="26" t="s">
        <v>64</v>
      </c>
      <c r="D50" s="25"/>
      <c r="E50" s="26" t="s">
        <v>65</v>
      </c>
      <c r="F50" s="25"/>
      <c r="G50" s="51" t="s">
        <v>66</v>
      </c>
      <c r="H50" s="52" t="s">
        <v>67</v>
      </c>
      <c r="I50" s="44"/>
    </row>
    <row r="51" spans="1:19" x14ac:dyDescent="0.25">
      <c r="A51" s="27" t="s">
        <v>189</v>
      </c>
      <c r="B51" s="25"/>
      <c r="C51" s="28">
        <v>435917181.16000003</v>
      </c>
      <c r="D51" s="29"/>
      <c r="E51" s="28">
        <v>111980014.55</v>
      </c>
      <c r="F51" s="29"/>
      <c r="G51" s="43">
        <v>2050790.8</v>
      </c>
      <c r="H51" s="43">
        <f>SUM(C51:G51)</f>
        <v>549947986.50999999</v>
      </c>
      <c r="I51" s="44"/>
    </row>
    <row r="52" spans="1:19" ht="15.75" thickBot="1" x14ac:dyDescent="0.3">
      <c r="A52" s="30" t="s">
        <v>68</v>
      </c>
      <c r="B52" s="25"/>
      <c r="C52" s="64"/>
      <c r="D52" s="65"/>
      <c r="E52" s="64"/>
      <c r="F52" s="65"/>
      <c r="G52" s="87"/>
      <c r="H52" s="66">
        <f>SUM(C52:G52)</f>
        <v>0</v>
      </c>
      <c r="I52" s="44"/>
    </row>
    <row r="53" spans="1:19" ht="15.75" thickBot="1" x14ac:dyDescent="0.3">
      <c r="A53" s="30" t="s">
        <v>70</v>
      </c>
      <c r="B53" s="25"/>
      <c r="C53" s="31">
        <f>SUM(C51:C52)</f>
        <v>435917181.16000003</v>
      </c>
      <c r="D53" s="29"/>
      <c r="E53" s="31">
        <f>SUM(E51:E52)</f>
        <v>111980014.55</v>
      </c>
      <c r="F53" s="29"/>
      <c r="G53" s="45">
        <f>SUM(G51:G52)</f>
        <v>2050790.8</v>
      </c>
      <c r="H53" s="45">
        <f>SUM(H51:H52)</f>
        <v>549947986.50999999</v>
      </c>
      <c r="I53" s="44"/>
    </row>
    <row r="54" spans="1:19" ht="15.75" thickTop="1" x14ac:dyDescent="0.25">
      <c r="A54" s="27" t="s">
        <v>71</v>
      </c>
      <c r="B54" s="25"/>
      <c r="C54" s="32"/>
      <c r="D54" s="29"/>
      <c r="E54" s="32"/>
      <c r="F54" s="29"/>
      <c r="G54" s="46"/>
      <c r="H54" s="46"/>
      <c r="I54" s="44"/>
    </row>
    <row r="55" spans="1:19" x14ac:dyDescent="0.25">
      <c r="A55" s="30" t="s">
        <v>72</v>
      </c>
      <c r="B55" s="25"/>
      <c r="C55" s="28">
        <v>-335989468.41000003</v>
      </c>
      <c r="D55" s="29"/>
      <c r="E55" s="28">
        <v>-71732563.510000005</v>
      </c>
      <c r="F55" s="29"/>
      <c r="G55" s="43">
        <v>-1274602.4099999999</v>
      </c>
      <c r="H55" s="43">
        <f>SUM(C55:G55)</f>
        <v>-408996634.33000004</v>
      </c>
      <c r="I55" s="44"/>
    </row>
    <row r="56" spans="1:19" x14ac:dyDescent="0.25">
      <c r="A56" s="30" t="s">
        <v>73</v>
      </c>
      <c r="B56" s="25"/>
      <c r="C56" s="64"/>
      <c r="D56" s="65"/>
      <c r="E56" s="64"/>
      <c r="F56" s="65"/>
      <c r="G56" s="66"/>
      <c r="H56" s="66">
        <f>SUM(C56:G56)</f>
        <v>0</v>
      </c>
      <c r="I56" s="44"/>
    </row>
    <row r="57" spans="1:19" ht="15.75" thickBot="1" x14ac:dyDescent="0.3">
      <c r="A57" s="30" t="s">
        <v>69</v>
      </c>
      <c r="B57" s="25"/>
      <c r="C57" s="63">
        <v>0</v>
      </c>
      <c r="D57" s="29"/>
      <c r="E57" s="63">
        <v>0</v>
      </c>
      <c r="F57" s="29"/>
      <c r="G57" s="63">
        <v>0</v>
      </c>
      <c r="H57" s="62">
        <f>SUM(C57:G57)</f>
        <v>0</v>
      </c>
      <c r="I57" s="44"/>
    </row>
    <row r="58" spans="1:19" ht="15.75" thickBot="1" x14ac:dyDescent="0.3">
      <c r="A58" s="30" t="s">
        <v>74</v>
      </c>
      <c r="B58" s="25"/>
      <c r="C58" s="33">
        <f>SUM(C55:C57)</f>
        <v>-335989468.41000003</v>
      </c>
      <c r="D58" s="29"/>
      <c r="E58" s="33">
        <f>SUM(E55:E57)</f>
        <v>-71732563.510000005</v>
      </c>
      <c r="F58" s="29"/>
      <c r="G58" s="47">
        <f>SUM(G55:G57)</f>
        <v>-1274602.4099999999</v>
      </c>
      <c r="H58" s="48">
        <f>SUM(H55:H57)</f>
        <v>-408996634.33000004</v>
      </c>
      <c r="I58" s="44"/>
    </row>
    <row r="59" spans="1:19" ht="15.75" thickBot="1" x14ac:dyDescent="0.3">
      <c r="A59" s="34" t="s">
        <v>190</v>
      </c>
      <c r="B59" s="25"/>
      <c r="C59" s="35">
        <f t="shared" ref="C59" si="10">+C53+C58</f>
        <v>99927712.75</v>
      </c>
      <c r="D59" s="29"/>
      <c r="E59" s="35">
        <f t="shared" ref="E59" si="11">+E53+E58</f>
        <v>40247451.039999992</v>
      </c>
      <c r="F59" s="29"/>
      <c r="G59" s="49">
        <f t="shared" ref="G59" si="12">+G53+G58</f>
        <v>776188.39000000013</v>
      </c>
      <c r="H59" s="49">
        <f>+H53+H58</f>
        <v>140951352.17999995</v>
      </c>
      <c r="I59" s="44"/>
    </row>
    <row r="60" spans="1:19" ht="15.75" thickTop="1" x14ac:dyDescent="0.25"/>
    <row r="61" spans="1:19" x14ac:dyDescent="0.25">
      <c r="A61" s="107" t="s">
        <v>181</v>
      </c>
      <c r="B61" s="107"/>
      <c r="C61" s="107"/>
      <c r="D61" s="107"/>
      <c r="E61" s="107"/>
      <c r="F61" s="107"/>
      <c r="G61" s="107"/>
      <c r="H61" s="107"/>
      <c r="I61" s="107"/>
      <c r="K61" s="107" t="s">
        <v>270</v>
      </c>
      <c r="L61" s="107"/>
      <c r="M61" s="107"/>
      <c r="N61" s="107"/>
      <c r="O61" s="107"/>
      <c r="P61" s="107"/>
      <c r="Q61" s="107"/>
      <c r="R61" s="107"/>
      <c r="S61" s="107"/>
    </row>
    <row r="62" spans="1:19" ht="45" x14ac:dyDescent="0.25">
      <c r="A62" s="24"/>
      <c r="B62" s="25"/>
      <c r="C62" s="26" t="s">
        <v>64</v>
      </c>
      <c r="D62" s="25"/>
      <c r="E62" s="26" t="s">
        <v>65</v>
      </c>
      <c r="F62" s="25"/>
      <c r="G62" s="51" t="s">
        <v>66</v>
      </c>
      <c r="H62" s="52" t="s">
        <v>67</v>
      </c>
      <c r="I62" s="44"/>
      <c r="K62" s="24"/>
      <c r="L62" s="25"/>
      <c r="M62" s="26" t="s">
        <v>64</v>
      </c>
      <c r="N62" s="25"/>
      <c r="O62" s="26" t="s">
        <v>65</v>
      </c>
      <c r="P62" s="25"/>
      <c r="Q62" s="51" t="s">
        <v>66</v>
      </c>
      <c r="R62" s="52" t="s">
        <v>67</v>
      </c>
      <c r="S62" s="44"/>
    </row>
    <row r="63" spans="1:19" x14ac:dyDescent="0.25">
      <c r="A63" s="27" t="s">
        <v>189</v>
      </c>
      <c r="B63" s="25"/>
      <c r="C63" s="28">
        <v>435917181.16000003</v>
      </c>
      <c r="D63" s="29"/>
      <c r="E63" s="28">
        <v>111980014.55</v>
      </c>
      <c r="F63" s="29"/>
      <c r="G63" s="43">
        <v>2050790.8</v>
      </c>
      <c r="H63" s="43">
        <f>SUM(C63:G63)</f>
        <v>549947986.50999999</v>
      </c>
      <c r="I63" s="44"/>
      <c r="K63" s="27" t="s">
        <v>189</v>
      </c>
      <c r="L63" s="25"/>
      <c r="M63" s="28">
        <v>414514802.56</v>
      </c>
      <c r="N63" s="29"/>
      <c r="O63" s="28">
        <v>110181269.08</v>
      </c>
      <c r="P63" s="29"/>
      <c r="Q63" s="43">
        <v>1983790.8</v>
      </c>
      <c r="R63" s="43">
        <f>SUM(M63:Q63)</f>
        <v>526679862.44</v>
      </c>
      <c r="S63" s="44"/>
    </row>
    <row r="64" spans="1:19" ht="15.75" thickBot="1" x14ac:dyDescent="0.3">
      <c r="A64" s="30" t="s">
        <v>68</v>
      </c>
      <c r="B64" s="25"/>
      <c r="C64" s="64">
        <v>10059.5</v>
      </c>
      <c r="D64" s="65"/>
      <c r="E64" s="64">
        <v>923080</v>
      </c>
      <c r="F64" s="65"/>
      <c r="G64" s="87">
        <v>0</v>
      </c>
      <c r="H64" s="66">
        <f>SUM(C64:G64)</f>
        <v>933139.5</v>
      </c>
      <c r="I64" s="44"/>
      <c r="K64" s="30" t="s">
        <v>68</v>
      </c>
      <c r="L64" s="25"/>
      <c r="M64" s="64">
        <v>571330</v>
      </c>
      <c r="N64" s="65"/>
      <c r="O64" s="64">
        <v>372805.22</v>
      </c>
      <c r="P64" s="65"/>
      <c r="Q64" s="87">
        <v>0</v>
      </c>
      <c r="R64" s="66">
        <f>SUM(M64:Q64)</f>
        <v>944135.22</v>
      </c>
      <c r="S64" s="44"/>
    </row>
    <row r="65" spans="1:19" ht="15.75" thickBot="1" x14ac:dyDescent="0.3">
      <c r="A65" s="30" t="s">
        <v>70</v>
      </c>
      <c r="B65" s="25"/>
      <c r="C65" s="31">
        <f>SUM(C63:C64)</f>
        <v>435927240.66000003</v>
      </c>
      <c r="D65" s="29"/>
      <c r="E65" s="31">
        <f>SUM(E63:E64)</f>
        <v>112903094.55</v>
      </c>
      <c r="F65" s="29"/>
      <c r="G65" s="45">
        <f>SUM(G63:G64)</f>
        <v>2050790.8</v>
      </c>
      <c r="H65" s="45">
        <f>SUM(H63:H64)</f>
        <v>550881126.00999999</v>
      </c>
      <c r="I65" s="44"/>
      <c r="K65" s="30" t="s">
        <v>70</v>
      </c>
      <c r="L65" s="25"/>
      <c r="M65" s="31">
        <f>SUM(M63:M64)</f>
        <v>415086132.56</v>
      </c>
      <c r="N65" s="29"/>
      <c r="O65" s="31">
        <f>SUM(O63:O64)</f>
        <v>110554074.3</v>
      </c>
      <c r="P65" s="29"/>
      <c r="Q65" s="45">
        <f>SUM(Q63:Q64)</f>
        <v>1983790.8</v>
      </c>
      <c r="R65" s="45">
        <f>SUM(R63:R64)</f>
        <v>527623997.66000003</v>
      </c>
      <c r="S65" s="44"/>
    </row>
    <row r="66" spans="1:19" ht="15.75" thickTop="1" x14ac:dyDescent="0.25">
      <c r="A66" s="27" t="s">
        <v>71</v>
      </c>
      <c r="B66" s="25"/>
      <c r="C66" s="32"/>
      <c r="D66" s="29"/>
      <c r="E66" s="32"/>
      <c r="F66" s="29"/>
      <c r="G66" s="46"/>
      <c r="H66" s="46"/>
      <c r="I66" s="44"/>
      <c r="K66" s="27" t="s">
        <v>71</v>
      </c>
      <c r="L66" s="25"/>
      <c r="M66" s="32"/>
      <c r="N66" s="29"/>
      <c r="O66" s="32"/>
      <c r="P66" s="29"/>
      <c r="Q66" s="46"/>
      <c r="R66" s="46"/>
      <c r="S66" s="44"/>
    </row>
    <row r="67" spans="1:19" x14ac:dyDescent="0.25">
      <c r="A67" s="30" t="s">
        <v>72</v>
      </c>
      <c r="B67" s="25"/>
      <c r="C67" s="28">
        <v>-335970103.56</v>
      </c>
      <c r="D67" s="29"/>
      <c r="E67" s="28">
        <v>-72519521.780000001</v>
      </c>
      <c r="F67" s="29"/>
      <c r="G67" s="43">
        <v>-1345520.85</v>
      </c>
      <c r="H67" s="43">
        <f>SUM(C67:G67)</f>
        <v>-409835146.19000006</v>
      </c>
      <c r="I67" s="44"/>
      <c r="K67" s="30" t="s">
        <v>72</v>
      </c>
      <c r="L67" s="25"/>
      <c r="M67" s="28">
        <v>-317647675.30000001</v>
      </c>
      <c r="N67" s="29"/>
      <c r="O67" s="28">
        <v>-66278474.359999999</v>
      </c>
      <c r="P67" s="29"/>
      <c r="Q67" s="43">
        <v>-1274602.4099999999</v>
      </c>
      <c r="R67" s="43">
        <f>SUM(M67:Q67)</f>
        <v>-385200752.07000005</v>
      </c>
      <c r="S67" s="44"/>
    </row>
    <row r="68" spans="1:19" x14ac:dyDescent="0.25">
      <c r="A68" s="30" t="s">
        <v>73</v>
      </c>
      <c r="B68" s="25"/>
      <c r="C68" s="64">
        <v>-11827818.73</v>
      </c>
      <c r="D68" s="65"/>
      <c r="E68" s="64">
        <v>-2970929.71</v>
      </c>
      <c r="F68" s="65" t="s">
        <v>251</v>
      </c>
      <c r="G68" s="66">
        <v>-38809.22</v>
      </c>
      <c r="H68" s="66">
        <f>SUM(C68:G68)</f>
        <v>-14837557.660000002</v>
      </c>
      <c r="I68" s="44"/>
      <c r="K68" s="30" t="s">
        <v>73</v>
      </c>
      <c r="L68" s="25"/>
      <c r="M68" s="64">
        <v>-8756810.8599999994</v>
      </c>
      <c r="N68" s="65"/>
      <c r="O68" s="64">
        <v>-2613532.2000000002</v>
      </c>
      <c r="P68" s="65" t="s">
        <v>251</v>
      </c>
      <c r="Q68" s="66">
        <v>-35459.22</v>
      </c>
      <c r="R68" s="66">
        <f>SUM(M68:Q68)</f>
        <v>-11405802.279999999</v>
      </c>
      <c r="S68" s="44"/>
    </row>
    <row r="69" spans="1:19" ht="15.75" thickBot="1" x14ac:dyDescent="0.3">
      <c r="A69" s="30" t="s">
        <v>69</v>
      </c>
      <c r="B69" s="25"/>
      <c r="C69" s="63">
        <v>0</v>
      </c>
      <c r="D69" s="29"/>
      <c r="E69" s="63">
        <v>0</v>
      </c>
      <c r="F69" s="29"/>
      <c r="G69" s="63">
        <v>0</v>
      </c>
      <c r="H69" s="62">
        <f>SUM(C69:G69)</f>
        <v>0</v>
      </c>
      <c r="I69" s="44"/>
      <c r="K69" s="30" t="s">
        <v>69</v>
      </c>
      <c r="L69" s="25"/>
      <c r="M69" s="33">
        <v>-9584982.25</v>
      </c>
      <c r="N69" s="29"/>
      <c r="O69" s="33">
        <v>-2840556.95</v>
      </c>
      <c r="P69" s="29"/>
      <c r="Q69" s="63">
        <v>0</v>
      </c>
      <c r="R69" s="28">
        <f>SUM(M69:Q69)</f>
        <v>-12425539.199999999</v>
      </c>
      <c r="S69" s="44"/>
    </row>
    <row r="70" spans="1:19" ht="15.75" thickBot="1" x14ac:dyDescent="0.3">
      <c r="A70" s="30" t="s">
        <v>74</v>
      </c>
      <c r="B70" s="25"/>
      <c r="C70" s="33">
        <f>SUM(C67:C69)</f>
        <v>-347797922.29000002</v>
      </c>
      <c r="D70" s="29"/>
      <c r="E70" s="33">
        <f>SUM(E67:E69)</f>
        <v>-75490451.489999995</v>
      </c>
      <c r="F70" s="29"/>
      <c r="G70" s="47">
        <f>SUM(G67:G69)</f>
        <v>-1384330.07</v>
      </c>
      <c r="H70" s="48">
        <f>SUM(H67:H69)</f>
        <v>-424672703.85000008</v>
      </c>
      <c r="I70" s="44"/>
      <c r="K70" s="30" t="s">
        <v>74</v>
      </c>
      <c r="L70" s="25"/>
      <c r="M70" s="33">
        <f>SUM(M67:M69)</f>
        <v>-335989468.41000003</v>
      </c>
      <c r="N70" s="29"/>
      <c r="O70" s="33">
        <f>SUM(O67:O69)</f>
        <v>-71732563.510000005</v>
      </c>
      <c r="P70" s="29"/>
      <c r="Q70" s="47">
        <f>SUM(Q67:Q69)</f>
        <v>-1310061.6299999999</v>
      </c>
      <c r="R70" s="48">
        <f>SUM(R67:R69)</f>
        <v>-409032093.55000001</v>
      </c>
      <c r="S70" s="44"/>
    </row>
    <row r="71" spans="1:19" ht="15.75" thickBot="1" x14ac:dyDescent="0.3">
      <c r="A71" s="34" t="s">
        <v>190</v>
      </c>
      <c r="B71" s="25"/>
      <c r="C71" s="35">
        <f t="shared" ref="C71" si="13">+C65+C70</f>
        <v>88129318.370000005</v>
      </c>
      <c r="D71" s="29"/>
      <c r="E71" s="35">
        <f t="shared" ref="E71" si="14">+E65+E70</f>
        <v>37412643.060000002</v>
      </c>
      <c r="F71" s="29"/>
      <c r="G71" s="49">
        <f t="shared" ref="G71" si="15">+G65+G70</f>
        <v>666460.73</v>
      </c>
      <c r="H71" s="49">
        <f>+H65+H70</f>
        <v>126208422.15999991</v>
      </c>
      <c r="I71" s="44"/>
      <c r="K71" s="34" t="s">
        <v>190</v>
      </c>
      <c r="L71" s="25"/>
      <c r="M71" s="35">
        <f t="shared" ref="M71" si="16">+M65+M70</f>
        <v>79096664.149999976</v>
      </c>
      <c r="N71" s="29"/>
      <c r="O71" s="35">
        <f t="shared" ref="O71" si="17">+O65+O70</f>
        <v>38821510.789999992</v>
      </c>
      <c r="P71" s="29"/>
      <c r="Q71" s="49">
        <f t="shared" ref="Q71" si="18">+Q65+Q70</f>
        <v>673729.17000000016</v>
      </c>
      <c r="R71" s="49">
        <f>+R65+R70</f>
        <v>118591904.11000001</v>
      </c>
      <c r="S71" s="44"/>
    </row>
    <row r="72" spans="1:19" ht="15.75" thickTop="1" x14ac:dyDescent="0.25"/>
    <row r="73" spans="1:19" x14ac:dyDescent="0.25">
      <c r="A73" s="107" t="s">
        <v>240</v>
      </c>
      <c r="B73" s="107"/>
      <c r="C73" s="107"/>
      <c r="D73" s="107"/>
      <c r="E73" s="107"/>
      <c r="F73" s="107"/>
      <c r="G73" s="107"/>
      <c r="H73" s="107"/>
      <c r="I73" s="107"/>
    </row>
    <row r="74" spans="1:19" ht="45" x14ac:dyDescent="0.25">
      <c r="A74" s="24"/>
      <c r="B74" s="25"/>
      <c r="C74" s="26" t="s">
        <v>64</v>
      </c>
      <c r="D74" s="25"/>
      <c r="E74" s="26" t="s">
        <v>65</v>
      </c>
      <c r="F74" s="25"/>
      <c r="G74" s="51" t="s">
        <v>66</v>
      </c>
      <c r="H74" s="52" t="s">
        <v>67</v>
      </c>
      <c r="I74" s="44"/>
    </row>
    <row r="75" spans="1:19" x14ac:dyDescent="0.25">
      <c r="A75" s="27" t="s">
        <v>189</v>
      </c>
      <c r="B75" s="25"/>
      <c r="C75" s="28">
        <f>C65</f>
        <v>435927240.66000003</v>
      </c>
      <c r="D75" s="29"/>
      <c r="E75" s="28">
        <f>E65</f>
        <v>112903094.55</v>
      </c>
      <c r="F75" s="29"/>
      <c r="G75" s="43">
        <f>G65</f>
        <v>2050790.8</v>
      </c>
      <c r="H75" s="43">
        <f>SUM(C75:G75)</f>
        <v>550881126.00999999</v>
      </c>
      <c r="I75" s="44"/>
    </row>
    <row r="76" spans="1:19" ht="15.75" thickBot="1" x14ac:dyDescent="0.3">
      <c r="A76" s="30" t="s">
        <v>68</v>
      </c>
      <c r="B76" s="25"/>
      <c r="C76" s="64" t="s">
        <v>251</v>
      </c>
      <c r="D76" s="65"/>
      <c r="E76" s="64" t="s">
        <v>251</v>
      </c>
      <c r="F76" s="65"/>
      <c r="G76" s="87"/>
      <c r="H76" s="66">
        <f>SUM(C76:G76)</f>
        <v>0</v>
      </c>
      <c r="I76" s="44"/>
    </row>
    <row r="77" spans="1:19" ht="15.75" thickBot="1" x14ac:dyDescent="0.3">
      <c r="A77" s="30" t="s">
        <v>70</v>
      </c>
      <c r="B77" s="25"/>
      <c r="C77" s="31">
        <f>SUM(C75:C76)</f>
        <v>435927240.66000003</v>
      </c>
      <c r="D77" s="29"/>
      <c r="E77" s="31">
        <f>SUM(E75:E76)</f>
        <v>112903094.55</v>
      </c>
      <c r="F77" s="29"/>
      <c r="G77" s="45">
        <f>SUM(G75:G76)</f>
        <v>2050790.8</v>
      </c>
      <c r="H77" s="45">
        <f>SUM(H75:H76)</f>
        <v>550881126.00999999</v>
      </c>
      <c r="I77" s="44"/>
    </row>
    <row r="78" spans="1:19" ht="15.75" thickTop="1" x14ac:dyDescent="0.25">
      <c r="A78" s="27" t="s">
        <v>71</v>
      </c>
      <c r="B78" s="34" t="s">
        <v>318</v>
      </c>
      <c r="C78" s="32"/>
      <c r="D78" s="29"/>
      <c r="E78" s="32"/>
      <c r="F78" s="29"/>
      <c r="G78" s="46"/>
      <c r="H78" s="46"/>
      <c r="I78" s="44"/>
    </row>
    <row r="79" spans="1:19" x14ac:dyDescent="0.25">
      <c r="A79" s="30" t="s">
        <v>72</v>
      </c>
      <c r="B79" s="34" t="s">
        <v>319</v>
      </c>
      <c r="C79" s="28">
        <v>-347797922.29000002</v>
      </c>
      <c r="D79" s="29"/>
      <c r="E79" s="28">
        <v>-75490451.489999995</v>
      </c>
      <c r="F79" s="29"/>
      <c r="G79" s="43">
        <v>-1384330.07</v>
      </c>
      <c r="H79" s="43">
        <f>SUM(C79:G79)</f>
        <v>-424672703.85000002</v>
      </c>
      <c r="I79" s="44"/>
    </row>
    <row r="80" spans="1:19" x14ac:dyDescent="0.25">
      <c r="A80" s="30" t="s">
        <v>73</v>
      </c>
      <c r="B80" s="34" t="s">
        <v>320</v>
      </c>
      <c r="C80" s="64">
        <v>-1068480.1299999999</v>
      </c>
      <c r="D80" s="65"/>
      <c r="E80" s="64">
        <v>0</v>
      </c>
      <c r="F80" s="65"/>
      <c r="G80" s="66">
        <v>0</v>
      </c>
      <c r="H80" s="66">
        <f>SUM(C80:G80)</f>
        <v>-1068480.1299999999</v>
      </c>
      <c r="I80" s="44"/>
      <c r="K80" s="21">
        <v>1794592.46</v>
      </c>
    </row>
    <row r="81" spans="1:11" ht="15.75" thickBot="1" x14ac:dyDescent="0.3">
      <c r="A81" s="30" t="s">
        <v>69</v>
      </c>
      <c r="B81" s="25"/>
      <c r="C81" s="63">
        <v>0</v>
      </c>
      <c r="D81" s="29"/>
      <c r="E81" s="63">
        <v>0</v>
      </c>
      <c r="F81" s="29"/>
      <c r="G81" s="63">
        <v>0</v>
      </c>
      <c r="H81" s="62">
        <f>SUM(C81:G81)</f>
        <v>0</v>
      </c>
      <c r="I81" s="44"/>
      <c r="K81" s="21">
        <v>125808903.13</v>
      </c>
    </row>
    <row r="82" spans="1:11" ht="15.75" thickBot="1" x14ac:dyDescent="0.3">
      <c r="A82" s="30" t="s">
        <v>74</v>
      </c>
      <c r="B82" s="25"/>
      <c r="C82" s="33">
        <f>SUM(C79:C81)</f>
        <v>-348866402.42000002</v>
      </c>
      <c r="D82" s="29"/>
      <c r="E82" s="33">
        <f>SUM(E79:E81)</f>
        <v>-75490451.489999995</v>
      </c>
      <c r="F82" s="29"/>
      <c r="G82" s="47">
        <f>SUM(G79:G81)</f>
        <v>-1384330.07</v>
      </c>
      <c r="H82" s="48">
        <f>SUM(H79:H81)</f>
        <v>-425741183.98000002</v>
      </c>
      <c r="I82" s="44"/>
    </row>
    <row r="83" spans="1:11" ht="15.75" thickBot="1" x14ac:dyDescent="0.3">
      <c r="A83" s="34" t="s">
        <v>190</v>
      </c>
      <c r="B83" s="34" t="s">
        <v>321</v>
      </c>
      <c r="C83" s="35">
        <f t="shared" ref="C83" si="19">+C77+C82</f>
        <v>87060838.24000001</v>
      </c>
      <c r="D83" s="29"/>
      <c r="E83" s="35">
        <f t="shared" ref="E83" si="20">+E77+E82</f>
        <v>37412643.060000002</v>
      </c>
      <c r="F83" s="29"/>
      <c r="G83" s="49">
        <f t="shared" ref="G83" si="21">+G77+G82</f>
        <v>666460.73</v>
      </c>
      <c r="H83" s="49">
        <f>+H77+H82</f>
        <v>125139942.02999997</v>
      </c>
      <c r="I83" s="44"/>
    </row>
    <row r="84" spans="1:11" ht="15.75" thickTop="1" x14ac:dyDescent="0.25"/>
    <row r="85" spans="1:11" x14ac:dyDescent="0.25">
      <c r="A85" s="107" t="s">
        <v>241</v>
      </c>
      <c r="B85" s="107" t="s">
        <v>323</v>
      </c>
      <c r="C85" s="107"/>
      <c r="D85" s="107"/>
      <c r="E85" s="107"/>
      <c r="F85" s="107"/>
      <c r="G85" s="107"/>
      <c r="H85" s="107"/>
      <c r="I85" s="107"/>
    </row>
    <row r="86" spans="1:11" ht="45" x14ac:dyDescent="0.25">
      <c r="A86" s="24"/>
      <c r="B86" s="25" t="s">
        <v>324</v>
      </c>
      <c r="C86" s="26" t="s">
        <v>64</v>
      </c>
      <c r="D86" s="25"/>
      <c r="E86" s="26" t="s">
        <v>65</v>
      </c>
      <c r="F86" s="25"/>
      <c r="G86" s="51" t="s">
        <v>66</v>
      </c>
      <c r="H86" s="52" t="s">
        <v>67</v>
      </c>
      <c r="I86" s="44"/>
    </row>
    <row r="87" spans="1:11" x14ac:dyDescent="0.25">
      <c r="A87" s="27" t="s">
        <v>189</v>
      </c>
      <c r="B87" s="25"/>
      <c r="C87" s="28">
        <v>436587342.56</v>
      </c>
      <c r="D87" s="29"/>
      <c r="E87" s="28">
        <v>112911953.75</v>
      </c>
      <c r="F87" s="29"/>
      <c r="G87" s="43">
        <v>2050790.8</v>
      </c>
      <c r="H87" s="43">
        <f>SUM(C87:G87)</f>
        <v>551550087.1099999</v>
      </c>
      <c r="I87" s="44"/>
    </row>
    <row r="88" spans="1:11" ht="15.75" thickBot="1" x14ac:dyDescent="0.3">
      <c r="A88" s="30" t="s">
        <v>68</v>
      </c>
      <c r="B88" s="25"/>
      <c r="C88" s="64">
        <f>447335.64+212766.26+284616+149152</f>
        <v>1093869.8999999999</v>
      </c>
      <c r="D88" s="65"/>
      <c r="E88" s="64">
        <f>8859.2+115574</f>
        <v>124433.2</v>
      </c>
      <c r="F88" s="65"/>
      <c r="G88" s="87"/>
      <c r="H88" s="66">
        <f>SUM(C88:G88)</f>
        <v>1218303.0999999999</v>
      </c>
      <c r="I88" s="44"/>
    </row>
    <row r="89" spans="1:11" ht="15.75" thickBot="1" x14ac:dyDescent="0.3">
      <c r="A89" s="30" t="s">
        <v>70</v>
      </c>
      <c r="B89" s="25"/>
      <c r="C89" s="31">
        <f>SUM(C87:C88)</f>
        <v>437681212.45999998</v>
      </c>
      <c r="D89" s="29"/>
      <c r="E89" s="31">
        <f>SUM(E87:E88)</f>
        <v>113036386.95</v>
      </c>
      <c r="F89" s="29"/>
      <c r="G89" s="45">
        <f>SUM(G87:G88)</f>
        <v>2050790.8</v>
      </c>
      <c r="H89" s="45">
        <f>SUM(H87:H88)</f>
        <v>552768390.20999992</v>
      </c>
      <c r="I89" s="44"/>
    </row>
    <row r="90" spans="1:11" ht="15.75" thickTop="1" x14ac:dyDescent="0.25">
      <c r="A90" s="27" t="s">
        <v>71</v>
      </c>
      <c r="B90" s="25"/>
      <c r="C90" s="32"/>
      <c r="D90" s="29"/>
      <c r="E90" s="32"/>
      <c r="F90" s="29"/>
      <c r="G90" s="46"/>
      <c r="H90" s="46"/>
      <c r="I90" s="44"/>
    </row>
    <row r="91" spans="1:11" x14ac:dyDescent="0.25">
      <c r="A91" s="30" t="s">
        <v>72</v>
      </c>
      <c r="B91" s="25"/>
      <c r="C91" s="28">
        <v>-348866402.42000002</v>
      </c>
      <c r="D91" s="29"/>
      <c r="E91" s="28">
        <v>-75490451.489999995</v>
      </c>
      <c r="F91" s="29"/>
      <c r="G91" s="43">
        <v>-1384330.07</v>
      </c>
      <c r="H91" s="43">
        <f>SUM(C91:G91)</f>
        <v>-425741183.98000002</v>
      </c>
      <c r="I91" s="44"/>
    </row>
    <row r="92" spans="1:11" x14ac:dyDescent="0.25">
      <c r="A92" s="30" t="s">
        <v>73</v>
      </c>
      <c r="B92" s="25"/>
      <c r="C92" s="64">
        <f>-'NOTAS (2)'!N226</f>
        <v>-11827818.732571531</v>
      </c>
      <c r="D92" s="65"/>
      <c r="E92" s="64">
        <f>-'NOTAS (2)'!N222-'NOTAS (2)'!N223-'NOTAS (2)'!N225</f>
        <v>-2970929.7056697076</v>
      </c>
      <c r="F92" s="65"/>
      <c r="G92" s="66">
        <f>-'NOTAS (2)'!N224</f>
        <v>-38809.219480460481</v>
      </c>
      <c r="H92" s="66">
        <f>SUM(C92:G92)</f>
        <v>-14837557.6577217</v>
      </c>
      <c r="I92" s="44"/>
    </row>
    <row r="93" spans="1:11" ht="15.75" thickBot="1" x14ac:dyDescent="0.3">
      <c r="A93" s="30" t="s">
        <v>69</v>
      </c>
      <c r="B93" s="25"/>
      <c r="C93" s="63">
        <v>0</v>
      </c>
      <c r="D93" s="29"/>
      <c r="E93" s="63">
        <v>0</v>
      </c>
      <c r="F93" s="29"/>
      <c r="G93" s="63">
        <v>0</v>
      </c>
      <c r="H93" s="62">
        <f>SUM(C93:G93)</f>
        <v>0</v>
      </c>
      <c r="I93" s="44"/>
    </row>
    <row r="94" spans="1:11" ht="15.75" thickBot="1" x14ac:dyDescent="0.3">
      <c r="A94" s="30" t="s">
        <v>74</v>
      </c>
      <c r="B94" s="25"/>
      <c r="C94" s="33">
        <f>SUM(C91:C93)</f>
        <v>-360694221.15257156</v>
      </c>
      <c r="D94" s="29"/>
      <c r="E94" s="33">
        <f>SUM(E91:E93)</f>
        <v>-78461381.195669696</v>
      </c>
      <c r="F94" s="29"/>
      <c r="G94" s="47">
        <f>SUM(G91:G93)</f>
        <v>-1423139.2894804606</v>
      </c>
      <c r="H94" s="48">
        <f>SUM(H91:H93)</f>
        <v>-440578741.63772172</v>
      </c>
      <c r="I94" s="44"/>
    </row>
    <row r="95" spans="1:11" ht="15.75" thickBot="1" x14ac:dyDescent="0.3">
      <c r="A95" s="34" t="s">
        <v>190</v>
      </c>
      <c r="B95" s="25"/>
      <c r="C95" s="35">
        <f t="shared" ref="C95" si="22">+C89+C94</f>
        <v>76986991.30742842</v>
      </c>
      <c r="D95" s="29"/>
      <c r="E95" s="35">
        <f t="shared" ref="E95" si="23">+E89+E94</f>
        <v>34575005.754330307</v>
      </c>
      <c r="F95" s="29"/>
      <c r="G95" s="49">
        <f t="shared" ref="G95" si="24">+G89+G94</f>
        <v>627651.51051953947</v>
      </c>
      <c r="H95" s="49">
        <f>+H89+H94</f>
        <v>112189648.5722782</v>
      </c>
      <c r="I95" s="44"/>
    </row>
    <row r="96" spans="1:11" ht="15.75" thickTop="1" x14ac:dyDescent="0.25"/>
    <row r="97" spans="1:9" x14ac:dyDescent="0.25">
      <c r="A97" s="107" t="s">
        <v>265</v>
      </c>
      <c r="B97" s="107"/>
      <c r="C97" s="107"/>
      <c r="D97" s="107"/>
      <c r="E97" s="107"/>
      <c r="F97" s="107"/>
      <c r="G97" s="107"/>
      <c r="H97" s="107"/>
      <c r="I97" s="107"/>
    </row>
    <row r="98" spans="1:9" ht="45" x14ac:dyDescent="0.25">
      <c r="A98" s="24"/>
      <c r="B98" s="25"/>
      <c r="C98" s="26" t="s">
        <v>64</v>
      </c>
      <c r="D98" s="25"/>
      <c r="E98" s="26" t="s">
        <v>65</v>
      </c>
      <c r="F98" s="25"/>
      <c r="G98" s="51" t="s">
        <v>66</v>
      </c>
      <c r="H98" s="52" t="s">
        <v>67</v>
      </c>
      <c r="I98" s="44"/>
    </row>
    <row r="99" spans="1:9" x14ac:dyDescent="0.25">
      <c r="A99" s="27" t="s">
        <v>189</v>
      </c>
      <c r="B99" s="25"/>
      <c r="C99" s="28">
        <v>435917181.16000003</v>
      </c>
      <c r="D99" s="29"/>
      <c r="E99" s="28">
        <v>111980014.55</v>
      </c>
      <c r="F99" s="29"/>
      <c r="G99" s="43">
        <v>2050790.8</v>
      </c>
      <c r="H99" s="43">
        <f>SUM(C99:G99)</f>
        <v>549947986.50999999</v>
      </c>
      <c r="I99" s="44"/>
    </row>
    <row r="100" spans="1:9" ht="15.75" thickBot="1" x14ac:dyDescent="0.3">
      <c r="A100" s="30" t="s">
        <v>68</v>
      </c>
      <c r="B100" s="25"/>
      <c r="C100" s="64"/>
      <c r="D100" s="65"/>
      <c r="E100" s="64">
        <v>0</v>
      </c>
      <c r="F100" s="65"/>
      <c r="G100" s="87"/>
      <c r="H100" s="66">
        <f>SUM(C100:G100)</f>
        <v>0</v>
      </c>
      <c r="I100" s="44"/>
    </row>
    <row r="101" spans="1:9" ht="15.75" thickBot="1" x14ac:dyDescent="0.3">
      <c r="A101" s="30" t="s">
        <v>70</v>
      </c>
      <c r="B101" s="25"/>
      <c r="C101" s="31">
        <f>SUM(C99:C100)</f>
        <v>435917181.16000003</v>
      </c>
      <c r="D101" s="29"/>
      <c r="E101" s="31">
        <f>SUM(E99:E100)</f>
        <v>111980014.55</v>
      </c>
      <c r="F101" s="29"/>
      <c r="G101" s="45">
        <f>SUM(G99:G100)</f>
        <v>2050790.8</v>
      </c>
      <c r="H101" s="45">
        <f>SUM(H99:H100)</f>
        <v>549947986.50999999</v>
      </c>
      <c r="I101" s="44"/>
    </row>
    <row r="102" spans="1:9" ht="15.75" thickTop="1" x14ac:dyDescent="0.25">
      <c r="A102" s="27" t="s">
        <v>71</v>
      </c>
      <c r="B102" s="25"/>
      <c r="C102" s="32"/>
      <c r="D102" s="29"/>
      <c r="E102" s="32"/>
      <c r="F102" s="29"/>
      <c r="G102" s="46"/>
      <c r="H102" s="46"/>
      <c r="I102" s="44"/>
    </row>
    <row r="103" spans="1:9" x14ac:dyDescent="0.25">
      <c r="A103" s="30" t="s">
        <v>72</v>
      </c>
      <c r="B103" s="25"/>
      <c r="C103" s="28">
        <v>-335989468.41000003</v>
      </c>
      <c r="D103" s="29"/>
      <c r="E103" s="28">
        <v>-71732563.510000005</v>
      </c>
      <c r="F103" s="29"/>
      <c r="G103" s="43">
        <v>-1274602.4099999999</v>
      </c>
      <c r="H103" s="43">
        <f>SUM(C103:G103)</f>
        <v>-408996634.33000004</v>
      </c>
      <c r="I103" s="44"/>
    </row>
    <row r="104" spans="1:9" x14ac:dyDescent="0.25">
      <c r="A104" s="30" t="s">
        <v>73</v>
      </c>
      <c r="B104" s="25"/>
      <c r="C104" s="64"/>
      <c r="D104" s="65"/>
      <c r="E104" s="64"/>
      <c r="F104" s="65"/>
      <c r="G104" s="66"/>
      <c r="H104" s="66">
        <f>SUM(C104:G104)</f>
        <v>0</v>
      </c>
      <c r="I104" s="44"/>
    </row>
    <row r="105" spans="1:9" ht="15.75" thickBot="1" x14ac:dyDescent="0.3">
      <c r="A105" s="30" t="s">
        <v>69</v>
      </c>
      <c r="B105" s="25"/>
      <c r="C105" s="63">
        <v>0</v>
      </c>
      <c r="D105" s="29"/>
      <c r="E105" s="63">
        <v>0</v>
      </c>
      <c r="F105" s="29"/>
      <c r="G105" s="63">
        <v>0</v>
      </c>
      <c r="H105" s="62">
        <f>SUM(C105:G105)</f>
        <v>0</v>
      </c>
      <c r="I105" s="44"/>
    </row>
    <row r="106" spans="1:9" ht="15.75" thickBot="1" x14ac:dyDescent="0.3">
      <c r="A106" s="30" t="s">
        <v>74</v>
      </c>
      <c r="B106" s="25"/>
      <c r="C106" s="33">
        <f>SUM(C103:C105)</f>
        <v>-335989468.41000003</v>
      </c>
      <c r="D106" s="29"/>
      <c r="E106" s="33">
        <f>SUM(E103:E105)</f>
        <v>-71732563.510000005</v>
      </c>
      <c r="F106" s="29"/>
      <c r="G106" s="47">
        <f>SUM(G103:G105)</f>
        <v>-1274602.4099999999</v>
      </c>
      <c r="H106" s="48">
        <f>SUM(H103:H105)</f>
        <v>-408996634.33000004</v>
      </c>
      <c r="I106" s="44"/>
    </row>
    <row r="107" spans="1:9" ht="15.75" thickBot="1" x14ac:dyDescent="0.3">
      <c r="A107" s="34" t="s">
        <v>190</v>
      </c>
      <c r="B107" s="25"/>
      <c r="C107" s="35">
        <f t="shared" ref="C107" si="25">+C101+C106</f>
        <v>99927712.75</v>
      </c>
      <c r="D107" s="29"/>
      <c r="E107" s="35">
        <f t="shared" ref="E107" si="26">+E101+E106</f>
        <v>40247451.039999992</v>
      </c>
      <c r="F107" s="29"/>
      <c r="G107" s="49">
        <f t="shared" ref="G107" si="27">+G101+G106</f>
        <v>776188.39000000013</v>
      </c>
      <c r="H107" s="49">
        <f>+H101+H106</f>
        <v>140951352.17999995</v>
      </c>
      <c r="I107" s="44"/>
    </row>
    <row r="108" spans="1:9" ht="15.75" thickTop="1" x14ac:dyDescent="0.25"/>
    <row r="109" spans="1:9" x14ac:dyDescent="0.25">
      <c r="A109" s="107" t="s">
        <v>266</v>
      </c>
      <c r="B109" s="107"/>
      <c r="C109" s="107"/>
      <c r="D109" s="107"/>
      <c r="E109" s="107"/>
      <c r="F109" s="107"/>
      <c r="G109" s="107"/>
      <c r="H109" s="107"/>
      <c r="I109" s="107"/>
    </row>
    <row r="110" spans="1:9" ht="45" x14ac:dyDescent="0.25">
      <c r="A110" s="24"/>
      <c r="B110" s="25"/>
      <c r="C110" s="26" t="s">
        <v>64</v>
      </c>
      <c r="D110" s="25"/>
      <c r="E110" s="26" t="s">
        <v>65</v>
      </c>
      <c r="F110" s="25"/>
      <c r="G110" s="51" t="s">
        <v>66</v>
      </c>
      <c r="H110" s="52" t="s">
        <v>67</v>
      </c>
      <c r="I110" s="44"/>
    </row>
    <row r="111" spans="1:9" x14ac:dyDescent="0.25">
      <c r="A111" s="27" t="s">
        <v>189</v>
      </c>
      <c r="B111" s="25"/>
      <c r="C111" s="28">
        <v>437937212.47000003</v>
      </c>
      <c r="D111" s="29"/>
      <c r="E111" s="28">
        <v>114434898.36</v>
      </c>
      <c r="F111" s="29"/>
      <c r="G111" s="43">
        <v>2050790.8</v>
      </c>
      <c r="H111" s="43">
        <f>SUM(C111:G111)</f>
        <v>554422901.63</v>
      </c>
      <c r="I111" s="44"/>
    </row>
    <row r="112" spans="1:9" ht="15.75" thickBot="1" x14ac:dyDescent="0.3">
      <c r="A112" s="30" t="s">
        <v>68</v>
      </c>
      <c r="B112" s="25"/>
      <c r="C112" s="64"/>
      <c r="D112" s="65"/>
      <c r="E112" s="64" t="s">
        <v>251</v>
      </c>
      <c r="F112" s="65"/>
      <c r="G112" s="87"/>
      <c r="H112" s="66">
        <f>SUM(C112:G112)</f>
        <v>0</v>
      </c>
      <c r="I112" s="44"/>
    </row>
    <row r="113" spans="1:9" ht="15.75" thickBot="1" x14ac:dyDescent="0.3">
      <c r="A113" s="30" t="s">
        <v>70</v>
      </c>
      <c r="B113" s="25"/>
      <c r="C113" s="31">
        <f>SUM(C111:C112)</f>
        <v>437937212.47000003</v>
      </c>
      <c r="D113" s="29"/>
      <c r="E113" s="31">
        <f>SUM(E111:E112)</f>
        <v>114434898.36</v>
      </c>
      <c r="F113" s="29"/>
      <c r="G113" s="45">
        <f>SUM(G111:G112)</f>
        <v>2050790.8</v>
      </c>
      <c r="H113" s="45">
        <f>SUM(H111:H112)</f>
        <v>554422901.63</v>
      </c>
      <c r="I113" s="44"/>
    </row>
    <row r="114" spans="1:9" ht="15.75" thickTop="1" x14ac:dyDescent="0.25">
      <c r="A114" s="27" t="s">
        <v>71</v>
      </c>
      <c r="B114" s="25"/>
      <c r="C114" s="32"/>
      <c r="D114" s="29"/>
      <c r="E114" s="32"/>
      <c r="F114" s="29"/>
      <c r="G114" s="46"/>
      <c r="H114" s="46"/>
      <c r="I114" s="44"/>
    </row>
    <row r="115" spans="1:9" x14ac:dyDescent="0.25">
      <c r="A115" s="30" t="s">
        <v>72</v>
      </c>
      <c r="B115" s="25"/>
      <c r="C115" s="28">
        <v>-372522039.88</v>
      </c>
      <c r="D115" s="29" t="s">
        <v>251</v>
      </c>
      <c r="E115" s="28">
        <v>-81432310.909999996</v>
      </c>
      <c r="F115" s="29"/>
      <c r="G115" s="43">
        <v>1384330.07</v>
      </c>
      <c r="H115" s="43">
        <f>SUM(C115:G115)</f>
        <v>-452570020.71999997</v>
      </c>
      <c r="I115" s="44"/>
    </row>
    <row r="116" spans="1:9" x14ac:dyDescent="0.25">
      <c r="A116" s="30" t="s">
        <v>73</v>
      </c>
      <c r="B116" s="25"/>
      <c r="C116" s="64">
        <v>-11827818.73</v>
      </c>
      <c r="D116" s="65"/>
      <c r="E116" s="64">
        <v>-2970929.71</v>
      </c>
      <c r="F116" s="65"/>
      <c r="G116" s="66">
        <v>-38809.22</v>
      </c>
      <c r="H116" s="66">
        <f>SUM(C116:G116)</f>
        <v>-14837557.660000002</v>
      </c>
      <c r="I116" s="44"/>
    </row>
    <row r="117" spans="1:9" ht="15.75" thickBot="1" x14ac:dyDescent="0.3">
      <c r="A117" s="30" t="s">
        <v>69</v>
      </c>
      <c r="B117" s="25"/>
      <c r="C117" s="63">
        <v>0</v>
      </c>
      <c r="D117" s="29"/>
      <c r="E117" s="63">
        <v>0</v>
      </c>
      <c r="F117" s="29"/>
      <c r="G117" s="63">
        <v>0</v>
      </c>
      <c r="H117" s="62">
        <f>SUM(C117:G117)</f>
        <v>0</v>
      </c>
      <c r="I117" s="44"/>
    </row>
    <row r="118" spans="1:9" ht="15.75" thickBot="1" x14ac:dyDescent="0.3">
      <c r="A118" s="30" t="s">
        <v>74</v>
      </c>
      <c r="B118" s="25"/>
      <c r="C118" s="33">
        <f>SUM(C115:C117)</f>
        <v>-384349858.61000001</v>
      </c>
      <c r="D118" s="29"/>
      <c r="E118" s="33">
        <f>SUM(E115:E117)</f>
        <v>-84403240.61999999</v>
      </c>
      <c r="F118" s="29"/>
      <c r="G118" s="47">
        <f>SUM(G115:G117)</f>
        <v>1345520.85</v>
      </c>
      <c r="H118" s="48">
        <f>SUM(H115:H117)</f>
        <v>-467407578.38</v>
      </c>
      <c r="I118" s="44"/>
    </row>
    <row r="119" spans="1:9" ht="15.75" thickBot="1" x14ac:dyDescent="0.3">
      <c r="A119" s="34" t="s">
        <v>190</v>
      </c>
      <c r="B119" s="25"/>
      <c r="C119" s="35">
        <f t="shared" ref="C119" si="28">+C113+C118</f>
        <v>53587353.860000014</v>
      </c>
      <c r="D119" s="29"/>
      <c r="E119" s="35">
        <f t="shared" ref="E119" si="29">+E113+E118</f>
        <v>30031657.74000001</v>
      </c>
      <c r="F119" s="29"/>
      <c r="G119" s="49">
        <f t="shared" ref="G119" si="30">+G113+G118</f>
        <v>3396311.6500000004</v>
      </c>
      <c r="H119" s="49">
        <f>+H113+H118</f>
        <v>87015323.25</v>
      </c>
      <c r="I119" s="44"/>
    </row>
    <row r="120" spans="1:9" ht="15.75" thickTop="1" x14ac:dyDescent="0.25"/>
    <row r="121" spans="1:9" x14ac:dyDescent="0.25">
      <c r="A121" s="107" t="s">
        <v>267</v>
      </c>
      <c r="B121" s="107"/>
      <c r="C121" s="107"/>
      <c r="D121" s="107"/>
      <c r="E121" s="107"/>
      <c r="F121" s="107"/>
      <c r="G121" s="107"/>
      <c r="H121" s="107"/>
      <c r="I121" s="107"/>
    </row>
    <row r="122" spans="1:9" ht="45" x14ac:dyDescent="0.25">
      <c r="A122" s="24"/>
      <c r="B122" s="25"/>
      <c r="C122" s="26" t="s">
        <v>64</v>
      </c>
      <c r="D122" s="25"/>
      <c r="E122" s="26" t="s">
        <v>65</v>
      </c>
      <c r="F122" s="25"/>
      <c r="G122" s="51" t="s">
        <v>66</v>
      </c>
      <c r="H122" s="52" t="s">
        <v>67</v>
      </c>
      <c r="I122" s="44"/>
    </row>
    <row r="123" spans="1:9" x14ac:dyDescent="0.25">
      <c r="A123" s="27" t="s">
        <v>189</v>
      </c>
      <c r="B123" s="25"/>
      <c r="C123" s="28">
        <v>435917181.16000003</v>
      </c>
      <c r="D123" s="29"/>
      <c r="E123" s="28">
        <v>111980014.55</v>
      </c>
      <c r="F123" s="29"/>
      <c r="G123" s="43">
        <v>2050790.8</v>
      </c>
      <c r="H123" s="43">
        <f>SUM(C123:G123)</f>
        <v>549947986.50999999</v>
      </c>
      <c r="I123" s="44"/>
    </row>
    <row r="124" spans="1:9" ht="15.75" thickBot="1" x14ac:dyDescent="0.3">
      <c r="A124" s="30" t="s">
        <v>68</v>
      </c>
      <c r="B124" s="25"/>
      <c r="C124" s="64"/>
      <c r="D124" s="65"/>
      <c r="E124" s="64">
        <v>13617.2</v>
      </c>
      <c r="F124" s="65"/>
      <c r="G124" s="87"/>
      <c r="H124" s="66">
        <f>SUM(C124:G124)</f>
        <v>13617.2</v>
      </c>
      <c r="I124" s="44"/>
    </row>
    <row r="125" spans="1:9" ht="15.75" thickBot="1" x14ac:dyDescent="0.3">
      <c r="A125" s="30" t="s">
        <v>70</v>
      </c>
      <c r="B125" s="25"/>
      <c r="C125" s="31">
        <f>SUM(C123:C124)</f>
        <v>435917181.16000003</v>
      </c>
      <c r="D125" s="29"/>
      <c r="E125" s="31">
        <f>SUM(E123:E124)</f>
        <v>111993631.75</v>
      </c>
      <c r="F125" s="29"/>
      <c r="G125" s="45">
        <f>SUM(G123:G124)</f>
        <v>2050790.8</v>
      </c>
      <c r="H125" s="45">
        <f>SUM(H123:H124)</f>
        <v>549961603.71000004</v>
      </c>
      <c r="I125" s="44"/>
    </row>
    <row r="126" spans="1:9" ht="15.75" thickTop="1" x14ac:dyDescent="0.25">
      <c r="A126" s="27" t="s">
        <v>71</v>
      </c>
      <c r="B126" s="25"/>
      <c r="C126" s="32"/>
      <c r="D126" s="29"/>
      <c r="E126" s="32"/>
      <c r="F126" s="29"/>
      <c r="G126" s="46"/>
      <c r="H126" s="46"/>
      <c r="I126" s="44"/>
    </row>
    <row r="127" spans="1:9" x14ac:dyDescent="0.25">
      <c r="A127" s="30" t="s">
        <v>72</v>
      </c>
      <c r="B127" s="25"/>
      <c r="C127" s="28">
        <v>-335989468.41000003</v>
      </c>
      <c r="D127" s="29"/>
      <c r="E127" s="28">
        <v>-71732563.510000005</v>
      </c>
      <c r="F127" s="29"/>
      <c r="G127" s="43">
        <v>-1274602.4099999999</v>
      </c>
      <c r="H127" s="43">
        <f>SUM(C127:G127)</f>
        <v>-408996634.33000004</v>
      </c>
      <c r="I127" s="44"/>
    </row>
    <row r="128" spans="1:9" x14ac:dyDescent="0.25">
      <c r="A128" s="30" t="s">
        <v>73</v>
      </c>
      <c r="B128" s="25"/>
      <c r="C128" s="64">
        <v>-11827818.73</v>
      </c>
      <c r="D128" s="65"/>
      <c r="E128" s="64">
        <v>-2970929.71</v>
      </c>
      <c r="F128" s="65"/>
      <c r="G128" s="66">
        <v>-38809.22</v>
      </c>
      <c r="H128" s="66">
        <f>SUM(C128:G128)</f>
        <v>-14837557.660000002</v>
      </c>
      <c r="I128" s="44"/>
    </row>
    <row r="129" spans="1:9" ht="15.75" thickBot="1" x14ac:dyDescent="0.3">
      <c r="A129" s="30" t="s">
        <v>69</v>
      </c>
      <c r="B129" s="25"/>
      <c r="C129" s="63">
        <v>0</v>
      </c>
      <c r="D129" s="29"/>
      <c r="E129" s="63">
        <v>0</v>
      </c>
      <c r="F129" s="29"/>
      <c r="G129" s="63">
        <v>0</v>
      </c>
      <c r="H129" s="62">
        <f>SUM(C129:G129)</f>
        <v>0</v>
      </c>
      <c r="I129" s="44"/>
    </row>
    <row r="130" spans="1:9" ht="15.75" thickBot="1" x14ac:dyDescent="0.3">
      <c r="A130" s="30" t="s">
        <v>74</v>
      </c>
      <c r="B130" s="25"/>
      <c r="C130" s="33">
        <f>SUM(C127:C129)</f>
        <v>-347817287.14000005</v>
      </c>
      <c r="D130" s="29"/>
      <c r="E130" s="33">
        <f>SUM(E127:E129)</f>
        <v>-74703493.219999999</v>
      </c>
      <c r="F130" s="29"/>
      <c r="G130" s="47">
        <f>SUM(G127:G129)</f>
        <v>-1313411.6299999999</v>
      </c>
      <c r="H130" s="48">
        <f>SUM(H127:H129)</f>
        <v>-423834191.99000007</v>
      </c>
      <c r="I130" s="44"/>
    </row>
    <row r="131" spans="1:9" ht="15.75" thickBot="1" x14ac:dyDescent="0.3">
      <c r="A131" s="34" t="s">
        <v>190</v>
      </c>
      <c r="B131" s="25"/>
      <c r="C131" s="35">
        <f t="shared" ref="C131" si="31">+C125+C130</f>
        <v>88099894.019999981</v>
      </c>
      <c r="D131" s="29"/>
      <c r="E131" s="35">
        <f t="shared" ref="E131" si="32">+E125+E130</f>
        <v>37290138.530000001</v>
      </c>
      <c r="F131" s="29"/>
      <c r="G131" s="49">
        <f t="shared" ref="G131" si="33">+G125+G130</f>
        <v>737379.17000000016</v>
      </c>
      <c r="H131" s="49">
        <f>+H125+H130</f>
        <v>126127411.71999997</v>
      </c>
      <c r="I131" s="44"/>
    </row>
    <row r="132" spans="1:9" ht="15.75" thickTop="1" x14ac:dyDescent="0.25"/>
    <row r="133" spans="1:9" x14ac:dyDescent="0.25">
      <c r="A133" s="107" t="s">
        <v>268</v>
      </c>
      <c r="B133" s="107"/>
      <c r="C133" s="107"/>
      <c r="D133" s="107"/>
      <c r="E133" s="107"/>
      <c r="F133" s="107"/>
      <c r="G133" s="107"/>
      <c r="H133" s="107"/>
      <c r="I133" s="107"/>
    </row>
    <row r="134" spans="1:9" ht="45" x14ac:dyDescent="0.25">
      <c r="A134" s="24"/>
      <c r="B134" s="25"/>
      <c r="C134" s="26" t="s">
        <v>64</v>
      </c>
      <c r="D134" s="25"/>
      <c r="E134" s="26" t="s">
        <v>65</v>
      </c>
      <c r="F134" s="25"/>
      <c r="G134" s="51" t="s">
        <v>66</v>
      </c>
      <c r="H134" s="52" t="s">
        <v>67</v>
      </c>
      <c r="I134" s="44"/>
    </row>
    <row r="135" spans="1:9" x14ac:dyDescent="0.25">
      <c r="A135" s="27" t="s">
        <v>189</v>
      </c>
      <c r="B135" s="25"/>
      <c r="C135" s="28">
        <v>438986976.56999999</v>
      </c>
      <c r="D135" s="29"/>
      <c r="E135" s="28">
        <v>114944663.34</v>
      </c>
      <c r="F135" s="29"/>
      <c r="G135" s="43">
        <v>2050790.8</v>
      </c>
      <c r="H135" s="43">
        <f>SUM(C135:G135)</f>
        <v>555982430.70999992</v>
      </c>
      <c r="I135" s="44"/>
    </row>
    <row r="136" spans="1:9" ht="15.75" thickBot="1" x14ac:dyDescent="0.3">
      <c r="A136" s="30" t="s">
        <v>68</v>
      </c>
      <c r="B136" s="25"/>
      <c r="C136" s="64">
        <v>1532258.32</v>
      </c>
      <c r="D136" s="65"/>
      <c r="E136" s="64">
        <v>142219.5</v>
      </c>
      <c r="F136" s="65"/>
      <c r="G136" s="87"/>
      <c r="H136" s="66">
        <f>SUM(C136:G136)</f>
        <v>1674477.82</v>
      </c>
      <c r="I136" s="44"/>
    </row>
    <row r="137" spans="1:9" ht="15.75" thickBot="1" x14ac:dyDescent="0.3">
      <c r="A137" s="30" t="s">
        <v>70</v>
      </c>
      <c r="B137" s="25"/>
      <c r="C137" s="31">
        <f>SUM(C135:C136)</f>
        <v>440519234.88999999</v>
      </c>
      <c r="D137" s="29"/>
      <c r="E137" s="31">
        <f>SUM(E135:E136)</f>
        <v>115086882.84</v>
      </c>
      <c r="F137" s="29"/>
      <c r="G137" s="45">
        <f>SUM(G135:G136)</f>
        <v>2050790.8</v>
      </c>
      <c r="H137" s="45">
        <f>SUM(H135:H136)</f>
        <v>557656908.52999997</v>
      </c>
      <c r="I137" s="44"/>
    </row>
    <row r="138" spans="1:9" ht="15.75" thickTop="1" x14ac:dyDescent="0.25">
      <c r="A138" s="27" t="s">
        <v>71</v>
      </c>
      <c r="B138" s="25"/>
      <c r="C138" s="32"/>
      <c r="D138" s="29"/>
      <c r="E138" s="32"/>
      <c r="F138" s="29"/>
      <c r="G138" s="46"/>
      <c r="H138" s="46"/>
      <c r="I138" s="44"/>
    </row>
    <row r="139" spans="1:9" x14ac:dyDescent="0.25">
      <c r="A139" s="30" t="s">
        <v>72</v>
      </c>
      <c r="B139" s="25"/>
      <c r="C139" s="28">
        <v>-396177677.33999997</v>
      </c>
      <c r="D139" s="29"/>
      <c r="E139" s="28">
        <v>-87374170.329999998</v>
      </c>
      <c r="F139" s="29"/>
      <c r="G139" s="43">
        <v>-1539566.95</v>
      </c>
      <c r="H139" s="43">
        <f>SUM(C139:G139)</f>
        <v>-485091414.61999995</v>
      </c>
      <c r="I139" s="44"/>
    </row>
    <row r="140" spans="1:9" x14ac:dyDescent="0.25">
      <c r="A140" s="30" t="s">
        <v>73</v>
      </c>
      <c r="B140" s="25"/>
      <c r="C140" s="64">
        <v>-11827818.73</v>
      </c>
      <c r="D140" s="65"/>
      <c r="E140" s="64">
        <v>-2970929.71</v>
      </c>
      <c r="F140" s="65"/>
      <c r="G140" s="66">
        <v>-38809.22</v>
      </c>
      <c r="H140" s="66">
        <f>SUM(C140:G140)</f>
        <v>-14837557.660000002</v>
      </c>
      <c r="I140" s="44"/>
    </row>
    <row r="141" spans="1:9" ht="15.75" thickBot="1" x14ac:dyDescent="0.3">
      <c r="A141" s="30" t="s">
        <v>69</v>
      </c>
      <c r="B141" s="25"/>
      <c r="C141" s="63">
        <v>0</v>
      </c>
      <c r="D141" s="29"/>
      <c r="E141" s="63">
        <v>0</v>
      </c>
      <c r="F141" s="29"/>
      <c r="G141" s="63">
        <v>0</v>
      </c>
      <c r="H141" s="62">
        <f>SUM(C141:G141)</f>
        <v>0</v>
      </c>
      <c r="I141" s="44"/>
    </row>
    <row r="142" spans="1:9" ht="15.75" thickBot="1" x14ac:dyDescent="0.3">
      <c r="A142" s="30" t="s">
        <v>74</v>
      </c>
      <c r="B142" s="25"/>
      <c r="C142" s="33">
        <f>SUM(C139:C141)</f>
        <v>-408005496.06999999</v>
      </c>
      <c r="D142" s="29"/>
      <c r="E142" s="33">
        <f>SUM(E139:E141)</f>
        <v>-90345100.039999992</v>
      </c>
      <c r="F142" s="29"/>
      <c r="G142" s="47">
        <f>SUM(G139:G141)</f>
        <v>-1578376.17</v>
      </c>
      <c r="H142" s="48">
        <f>SUM(H139:H141)</f>
        <v>-499928972.27999997</v>
      </c>
      <c r="I142" s="44"/>
    </row>
    <row r="143" spans="1:9" ht="15.75" thickBot="1" x14ac:dyDescent="0.3">
      <c r="A143" s="34" t="s">
        <v>190</v>
      </c>
      <c r="B143" s="25"/>
      <c r="C143" s="35">
        <f t="shared" ref="C143" si="34">+C137+C142</f>
        <v>32513738.819999993</v>
      </c>
      <c r="D143" s="29"/>
      <c r="E143" s="35">
        <f t="shared" ref="E143" si="35">+E137+E142</f>
        <v>24741782.800000012</v>
      </c>
      <c r="F143" s="29"/>
      <c r="G143" s="49">
        <f t="shared" ref="G143" si="36">+G137+G142</f>
        <v>472414.63000000012</v>
      </c>
      <c r="H143" s="49">
        <f>+H137+H142</f>
        <v>57727936.25</v>
      </c>
      <c r="I143" s="44"/>
    </row>
    <row r="144" spans="1:9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69"/>
  <sheetViews>
    <sheetView tabSelected="1" topLeftCell="A3" workbookViewId="0">
      <selection activeCell="B59" sqref="B59"/>
    </sheetView>
  </sheetViews>
  <sheetFormatPr baseColWidth="10" defaultColWidth="9.140625" defaultRowHeight="12.75" x14ac:dyDescent="0.25"/>
  <cols>
    <col min="1" max="1" width="4.5703125" style="92" customWidth="1"/>
    <col min="2" max="2" width="50.42578125" style="106" customWidth="1"/>
    <col min="3" max="3" width="16.140625" style="92" customWidth="1"/>
    <col min="4" max="4" width="5.42578125" style="92" customWidth="1"/>
    <col min="5" max="5" width="16.140625" style="92" customWidth="1"/>
    <col min="6" max="6" width="9.140625" style="92"/>
    <col min="7" max="7" width="17.140625" style="92" bestFit="1" customWidth="1"/>
    <col min="8" max="8" width="16.5703125" style="92" bestFit="1" customWidth="1"/>
    <col min="9" max="9" width="9.140625" style="92"/>
    <col min="10" max="10" width="14.85546875" style="92" bestFit="1" customWidth="1"/>
    <col min="11" max="12" width="15.42578125" style="92" bestFit="1" customWidth="1"/>
    <col min="13" max="15" width="16.5703125" style="92" bestFit="1" customWidth="1"/>
    <col min="16" max="254" width="9.140625" style="92"/>
    <col min="255" max="255" width="5.28515625" style="92" customWidth="1"/>
    <col min="256" max="256" width="48.42578125" style="92" customWidth="1"/>
    <col min="257" max="257" width="33.7109375" style="92" customWidth="1"/>
    <col min="258" max="258" width="9.140625" style="92"/>
    <col min="259" max="259" width="13.7109375" style="92" bestFit="1" customWidth="1"/>
    <col min="260" max="510" width="9.140625" style="92"/>
    <col min="511" max="511" width="5.28515625" style="92" customWidth="1"/>
    <col min="512" max="512" width="48.42578125" style="92" customWidth="1"/>
    <col min="513" max="513" width="33.7109375" style="92" customWidth="1"/>
    <col min="514" max="514" width="9.140625" style="92"/>
    <col min="515" max="515" width="13.7109375" style="92" bestFit="1" customWidth="1"/>
    <col min="516" max="766" width="9.140625" style="92"/>
    <col min="767" max="767" width="5.28515625" style="92" customWidth="1"/>
    <col min="768" max="768" width="48.42578125" style="92" customWidth="1"/>
    <col min="769" max="769" width="33.7109375" style="92" customWidth="1"/>
    <col min="770" max="770" width="9.140625" style="92"/>
    <col min="771" max="771" width="13.7109375" style="92" bestFit="1" customWidth="1"/>
    <col min="772" max="1022" width="9.140625" style="92"/>
    <col min="1023" max="1023" width="5.28515625" style="92" customWidth="1"/>
    <col min="1024" max="1024" width="48.42578125" style="92" customWidth="1"/>
    <col min="1025" max="1025" width="33.7109375" style="92" customWidth="1"/>
    <col min="1026" max="1026" width="9.140625" style="92"/>
    <col min="1027" max="1027" width="13.7109375" style="92" bestFit="1" customWidth="1"/>
    <col min="1028" max="1278" width="9.140625" style="92"/>
    <col min="1279" max="1279" width="5.28515625" style="92" customWidth="1"/>
    <col min="1280" max="1280" width="48.42578125" style="92" customWidth="1"/>
    <col min="1281" max="1281" width="33.7109375" style="92" customWidth="1"/>
    <col min="1282" max="1282" width="9.140625" style="92"/>
    <col min="1283" max="1283" width="13.7109375" style="92" bestFit="1" customWidth="1"/>
    <col min="1284" max="1534" width="9.140625" style="92"/>
    <col min="1535" max="1535" width="5.28515625" style="92" customWidth="1"/>
    <col min="1536" max="1536" width="48.42578125" style="92" customWidth="1"/>
    <col min="1537" max="1537" width="33.7109375" style="92" customWidth="1"/>
    <col min="1538" max="1538" width="9.140625" style="92"/>
    <col min="1539" max="1539" width="13.7109375" style="92" bestFit="1" customWidth="1"/>
    <col min="1540" max="1790" width="9.140625" style="92"/>
    <col min="1791" max="1791" width="5.28515625" style="92" customWidth="1"/>
    <col min="1792" max="1792" width="48.42578125" style="92" customWidth="1"/>
    <col min="1793" max="1793" width="33.7109375" style="92" customWidth="1"/>
    <col min="1794" max="1794" width="9.140625" style="92"/>
    <col min="1795" max="1795" width="13.7109375" style="92" bestFit="1" customWidth="1"/>
    <col min="1796" max="2046" width="9.140625" style="92"/>
    <col min="2047" max="2047" width="5.28515625" style="92" customWidth="1"/>
    <col min="2048" max="2048" width="48.42578125" style="92" customWidth="1"/>
    <col min="2049" max="2049" width="33.7109375" style="92" customWidth="1"/>
    <col min="2050" max="2050" width="9.140625" style="92"/>
    <col min="2051" max="2051" width="13.7109375" style="92" bestFit="1" customWidth="1"/>
    <col min="2052" max="2302" width="9.140625" style="92"/>
    <col min="2303" max="2303" width="5.28515625" style="92" customWidth="1"/>
    <col min="2304" max="2304" width="48.42578125" style="92" customWidth="1"/>
    <col min="2305" max="2305" width="33.7109375" style="92" customWidth="1"/>
    <col min="2306" max="2306" width="9.140625" style="92"/>
    <col min="2307" max="2307" width="13.7109375" style="92" bestFit="1" customWidth="1"/>
    <col min="2308" max="2558" width="9.140625" style="92"/>
    <col min="2559" max="2559" width="5.28515625" style="92" customWidth="1"/>
    <col min="2560" max="2560" width="48.42578125" style="92" customWidth="1"/>
    <col min="2561" max="2561" width="33.7109375" style="92" customWidth="1"/>
    <col min="2562" max="2562" width="9.140625" style="92"/>
    <col min="2563" max="2563" width="13.7109375" style="92" bestFit="1" customWidth="1"/>
    <col min="2564" max="2814" width="9.140625" style="92"/>
    <col min="2815" max="2815" width="5.28515625" style="92" customWidth="1"/>
    <col min="2816" max="2816" width="48.42578125" style="92" customWidth="1"/>
    <col min="2817" max="2817" width="33.7109375" style="92" customWidth="1"/>
    <col min="2818" max="2818" width="9.140625" style="92"/>
    <col min="2819" max="2819" width="13.7109375" style="92" bestFit="1" customWidth="1"/>
    <col min="2820" max="3070" width="9.140625" style="92"/>
    <col min="3071" max="3071" width="5.28515625" style="92" customWidth="1"/>
    <col min="3072" max="3072" width="48.42578125" style="92" customWidth="1"/>
    <col min="3073" max="3073" width="33.7109375" style="92" customWidth="1"/>
    <col min="3074" max="3074" width="9.140625" style="92"/>
    <col min="3075" max="3075" width="13.7109375" style="92" bestFit="1" customWidth="1"/>
    <col min="3076" max="3326" width="9.140625" style="92"/>
    <col min="3327" max="3327" width="5.28515625" style="92" customWidth="1"/>
    <col min="3328" max="3328" width="48.42578125" style="92" customWidth="1"/>
    <col min="3329" max="3329" width="33.7109375" style="92" customWidth="1"/>
    <col min="3330" max="3330" width="9.140625" style="92"/>
    <col min="3331" max="3331" width="13.7109375" style="92" bestFit="1" customWidth="1"/>
    <col min="3332" max="3582" width="9.140625" style="92"/>
    <col min="3583" max="3583" width="5.28515625" style="92" customWidth="1"/>
    <col min="3584" max="3584" width="48.42578125" style="92" customWidth="1"/>
    <col min="3585" max="3585" width="33.7109375" style="92" customWidth="1"/>
    <col min="3586" max="3586" width="9.140625" style="92"/>
    <col min="3587" max="3587" width="13.7109375" style="92" bestFit="1" customWidth="1"/>
    <col min="3588" max="3838" width="9.140625" style="92"/>
    <col min="3839" max="3839" width="5.28515625" style="92" customWidth="1"/>
    <col min="3840" max="3840" width="48.42578125" style="92" customWidth="1"/>
    <col min="3841" max="3841" width="33.7109375" style="92" customWidth="1"/>
    <col min="3842" max="3842" width="9.140625" style="92"/>
    <col min="3843" max="3843" width="13.7109375" style="92" bestFit="1" customWidth="1"/>
    <col min="3844" max="4094" width="9.140625" style="92"/>
    <col min="4095" max="4095" width="5.28515625" style="92" customWidth="1"/>
    <col min="4096" max="4096" width="48.42578125" style="92" customWidth="1"/>
    <col min="4097" max="4097" width="33.7109375" style="92" customWidth="1"/>
    <col min="4098" max="4098" width="9.140625" style="92"/>
    <col min="4099" max="4099" width="13.7109375" style="92" bestFit="1" customWidth="1"/>
    <col min="4100" max="4350" width="9.140625" style="92"/>
    <col min="4351" max="4351" width="5.28515625" style="92" customWidth="1"/>
    <col min="4352" max="4352" width="48.42578125" style="92" customWidth="1"/>
    <col min="4353" max="4353" width="33.7109375" style="92" customWidth="1"/>
    <col min="4354" max="4354" width="9.140625" style="92"/>
    <col min="4355" max="4355" width="13.7109375" style="92" bestFit="1" customWidth="1"/>
    <col min="4356" max="4606" width="9.140625" style="92"/>
    <col min="4607" max="4607" width="5.28515625" style="92" customWidth="1"/>
    <col min="4608" max="4608" width="48.42578125" style="92" customWidth="1"/>
    <col min="4609" max="4609" width="33.7109375" style="92" customWidth="1"/>
    <col min="4610" max="4610" width="9.140625" style="92"/>
    <col min="4611" max="4611" width="13.7109375" style="92" bestFit="1" customWidth="1"/>
    <col min="4612" max="4862" width="9.140625" style="92"/>
    <col min="4863" max="4863" width="5.28515625" style="92" customWidth="1"/>
    <col min="4864" max="4864" width="48.42578125" style="92" customWidth="1"/>
    <col min="4865" max="4865" width="33.7109375" style="92" customWidth="1"/>
    <col min="4866" max="4866" width="9.140625" style="92"/>
    <col min="4867" max="4867" width="13.7109375" style="92" bestFit="1" customWidth="1"/>
    <col min="4868" max="5118" width="9.140625" style="92"/>
    <col min="5119" max="5119" width="5.28515625" style="92" customWidth="1"/>
    <col min="5120" max="5120" width="48.42578125" style="92" customWidth="1"/>
    <col min="5121" max="5121" width="33.7109375" style="92" customWidth="1"/>
    <col min="5122" max="5122" width="9.140625" style="92"/>
    <col min="5123" max="5123" width="13.7109375" style="92" bestFit="1" customWidth="1"/>
    <col min="5124" max="5374" width="9.140625" style="92"/>
    <col min="5375" max="5375" width="5.28515625" style="92" customWidth="1"/>
    <col min="5376" max="5376" width="48.42578125" style="92" customWidth="1"/>
    <col min="5377" max="5377" width="33.7109375" style="92" customWidth="1"/>
    <col min="5378" max="5378" width="9.140625" style="92"/>
    <col min="5379" max="5379" width="13.7109375" style="92" bestFit="1" customWidth="1"/>
    <col min="5380" max="5630" width="9.140625" style="92"/>
    <col min="5631" max="5631" width="5.28515625" style="92" customWidth="1"/>
    <col min="5632" max="5632" width="48.42578125" style="92" customWidth="1"/>
    <col min="5633" max="5633" width="33.7109375" style="92" customWidth="1"/>
    <col min="5634" max="5634" width="9.140625" style="92"/>
    <col min="5635" max="5635" width="13.7109375" style="92" bestFit="1" customWidth="1"/>
    <col min="5636" max="5886" width="9.140625" style="92"/>
    <col min="5887" max="5887" width="5.28515625" style="92" customWidth="1"/>
    <col min="5888" max="5888" width="48.42578125" style="92" customWidth="1"/>
    <col min="5889" max="5889" width="33.7109375" style="92" customWidth="1"/>
    <col min="5890" max="5890" width="9.140625" style="92"/>
    <col min="5891" max="5891" width="13.7109375" style="92" bestFit="1" customWidth="1"/>
    <col min="5892" max="6142" width="9.140625" style="92"/>
    <col min="6143" max="6143" width="5.28515625" style="92" customWidth="1"/>
    <col min="6144" max="6144" width="48.42578125" style="92" customWidth="1"/>
    <col min="6145" max="6145" width="33.7109375" style="92" customWidth="1"/>
    <col min="6146" max="6146" width="9.140625" style="92"/>
    <col min="6147" max="6147" width="13.7109375" style="92" bestFit="1" customWidth="1"/>
    <col min="6148" max="6398" width="9.140625" style="92"/>
    <col min="6399" max="6399" width="5.28515625" style="92" customWidth="1"/>
    <col min="6400" max="6400" width="48.42578125" style="92" customWidth="1"/>
    <col min="6401" max="6401" width="33.7109375" style="92" customWidth="1"/>
    <col min="6402" max="6402" width="9.140625" style="92"/>
    <col min="6403" max="6403" width="13.7109375" style="92" bestFit="1" customWidth="1"/>
    <col min="6404" max="6654" width="9.140625" style="92"/>
    <col min="6655" max="6655" width="5.28515625" style="92" customWidth="1"/>
    <col min="6656" max="6656" width="48.42578125" style="92" customWidth="1"/>
    <col min="6657" max="6657" width="33.7109375" style="92" customWidth="1"/>
    <col min="6658" max="6658" width="9.140625" style="92"/>
    <col min="6659" max="6659" width="13.7109375" style="92" bestFit="1" customWidth="1"/>
    <col min="6660" max="6910" width="9.140625" style="92"/>
    <col min="6911" max="6911" width="5.28515625" style="92" customWidth="1"/>
    <col min="6912" max="6912" width="48.42578125" style="92" customWidth="1"/>
    <col min="6913" max="6913" width="33.7109375" style="92" customWidth="1"/>
    <col min="6914" max="6914" width="9.140625" style="92"/>
    <col min="6915" max="6915" width="13.7109375" style="92" bestFit="1" customWidth="1"/>
    <col min="6916" max="7166" width="9.140625" style="92"/>
    <col min="7167" max="7167" width="5.28515625" style="92" customWidth="1"/>
    <col min="7168" max="7168" width="48.42578125" style="92" customWidth="1"/>
    <col min="7169" max="7169" width="33.7109375" style="92" customWidth="1"/>
    <col min="7170" max="7170" width="9.140625" style="92"/>
    <col min="7171" max="7171" width="13.7109375" style="92" bestFit="1" customWidth="1"/>
    <col min="7172" max="7422" width="9.140625" style="92"/>
    <col min="7423" max="7423" width="5.28515625" style="92" customWidth="1"/>
    <col min="7424" max="7424" width="48.42578125" style="92" customWidth="1"/>
    <col min="7425" max="7425" width="33.7109375" style="92" customWidth="1"/>
    <col min="7426" max="7426" width="9.140625" style="92"/>
    <col min="7427" max="7427" width="13.7109375" style="92" bestFit="1" customWidth="1"/>
    <col min="7428" max="7678" width="9.140625" style="92"/>
    <col min="7679" max="7679" width="5.28515625" style="92" customWidth="1"/>
    <col min="7680" max="7680" width="48.42578125" style="92" customWidth="1"/>
    <col min="7681" max="7681" width="33.7109375" style="92" customWidth="1"/>
    <col min="7682" max="7682" width="9.140625" style="92"/>
    <col min="7683" max="7683" width="13.7109375" style="92" bestFit="1" customWidth="1"/>
    <col min="7684" max="7934" width="9.140625" style="92"/>
    <col min="7935" max="7935" width="5.28515625" style="92" customWidth="1"/>
    <col min="7936" max="7936" width="48.42578125" style="92" customWidth="1"/>
    <col min="7937" max="7937" width="33.7109375" style="92" customWidth="1"/>
    <col min="7938" max="7938" width="9.140625" style="92"/>
    <col min="7939" max="7939" width="13.7109375" style="92" bestFit="1" customWidth="1"/>
    <col min="7940" max="8190" width="9.140625" style="92"/>
    <col min="8191" max="8191" width="5.28515625" style="92" customWidth="1"/>
    <col min="8192" max="8192" width="48.42578125" style="92" customWidth="1"/>
    <col min="8193" max="8193" width="33.7109375" style="92" customWidth="1"/>
    <col min="8194" max="8194" width="9.140625" style="92"/>
    <col min="8195" max="8195" width="13.7109375" style="92" bestFit="1" customWidth="1"/>
    <col min="8196" max="8446" width="9.140625" style="92"/>
    <col min="8447" max="8447" width="5.28515625" style="92" customWidth="1"/>
    <col min="8448" max="8448" width="48.42578125" style="92" customWidth="1"/>
    <col min="8449" max="8449" width="33.7109375" style="92" customWidth="1"/>
    <col min="8450" max="8450" width="9.140625" style="92"/>
    <col min="8451" max="8451" width="13.7109375" style="92" bestFit="1" customWidth="1"/>
    <col min="8452" max="8702" width="9.140625" style="92"/>
    <col min="8703" max="8703" width="5.28515625" style="92" customWidth="1"/>
    <col min="8704" max="8704" width="48.42578125" style="92" customWidth="1"/>
    <col min="8705" max="8705" width="33.7109375" style="92" customWidth="1"/>
    <col min="8706" max="8706" width="9.140625" style="92"/>
    <col min="8707" max="8707" width="13.7109375" style="92" bestFit="1" customWidth="1"/>
    <col min="8708" max="8958" width="9.140625" style="92"/>
    <col min="8959" max="8959" width="5.28515625" style="92" customWidth="1"/>
    <col min="8960" max="8960" width="48.42578125" style="92" customWidth="1"/>
    <col min="8961" max="8961" width="33.7109375" style="92" customWidth="1"/>
    <col min="8962" max="8962" width="9.140625" style="92"/>
    <col min="8963" max="8963" width="13.7109375" style="92" bestFit="1" customWidth="1"/>
    <col min="8964" max="9214" width="9.140625" style="92"/>
    <col min="9215" max="9215" width="5.28515625" style="92" customWidth="1"/>
    <col min="9216" max="9216" width="48.42578125" style="92" customWidth="1"/>
    <col min="9217" max="9217" width="33.7109375" style="92" customWidth="1"/>
    <col min="9218" max="9218" width="9.140625" style="92"/>
    <col min="9219" max="9219" width="13.7109375" style="92" bestFit="1" customWidth="1"/>
    <col min="9220" max="9470" width="9.140625" style="92"/>
    <col min="9471" max="9471" width="5.28515625" style="92" customWidth="1"/>
    <col min="9472" max="9472" width="48.42578125" style="92" customWidth="1"/>
    <col min="9473" max="9473" width="33.7109375" style="92" customWidth="1"/>
    <col min="9474" max="9474" width="9.140625" style="92"/>
    <col min="9475" max="9475" width="13.7109375" style="92" bestFit="1" customWidth="1"/>
    <col min="9476" max="9726" width="9.140625" style="92"/>
    <col min="9727" max="9727" width="5.28515625" style="92" customWidth="1"/>
    <col min="9728" max="9728" width="48.42578125" style="92" customWidth="1"/>
    <col min="9729" max="9729" width="33.7109375" style="92" customWidth="1"/>
    <col min="9730" max="9730" width="9.140625" style="92"/>
    <col min="9731" max="9731" width="13.7109375" style="92" bestFit="1" customWidth="1"/>
    <col min="9732" max="9982" width="9.140625" style="92"/>
    <col min="9983" max="9983" width="5.28515625" style="92" customWidth="1"/>
    <col min="9984" max="9984" width="48.42578125" style="92" customWidth="1"/>
    <col min="9985" max="9985" width="33.7109375" style="92" customWidth="1"/>
    <col min="9986" max="9986" width="9.140625" style="92"/>
    <col min="9987" max="9987" width="13.7109375" style="92" bestFit="1" customWidth="1"/>
    <col min="9988" max="10238" width="9.140625" style="92"/>
    <col min="10239" max="10239" width="5.28515625" style="92" customWidth="1"/>
    <col min="10240" max="10240" width="48.42578125" style="92" customWidth="1"/>
    <col min="10241" max="10241" width="33.7109375" style="92" customWidth="1"/>
    <col min="10242" max="10242" width="9.140625" style="92"/>
    <col min="10243" max="10243" width="13.7109375" style="92" bestFit="1" customWidth="1"/>
    <col min="10244" max="10494" width="9.140625" style="92"/>
    <col min="10495" max="10495" width="5.28515625" style="92" customWidth="1"/>
    <col min="10496" max="10496" width="48.42578125" style="92" customWidth="1"/>
    <col min="10497" max="10497" width="33.7109375" style="92" customWidth="1"/>
    <col min="10498" max="10498" width="9.140625" style="92"/>
    <col min="10499" max="10499" width="13.7109375" style="92" bestFit="1" customWidth="1"/>
    <col min="10500" max="10750" width="9.140625" style="92"/>
    <col min="10751" max="10751" width="5.28515625" style="92" customWidth="1"/>
    <col min="10752" max="10752" width="48.42578125" style="92" customWidth="1"/>
    <col min="10753" max="10753" width="33.7109375" style="92" customWidth="1"/>
    <col min="10754" max="10754" width="9.140625" style="92"/>
    <col min="10755" max="10755" width="13.7109375" style="92" bestFit="1" customWidth="1"/>
    <col min="10756" max="11006" width="9.140625" style="92"/>
    <col min="11007" max="11007" width="5.28515625" style="92" customWidth="1"/>
    <col min="11008" max="11008" width="48.42578125" style="92" customWidth="1"/>
    <col min="11009" max="11009" width="33.7109375" style="92" customWidth="1"/>
    <col min="11010" max="11010" width="9.140625" style="92"/>
    <col min="11011" max="11011" width="13.7109375" style="92" bestFit="1" customWidth="1"/>
    <col min="11012" max="11262" width="9.140625" style="92"/>
    <col min="11263" max="11263" width="5.28515625" style="92" customWidth="1"/>
    <col min="11264" max="11264" width="48.42578125" style="92" customWidth="1"/>
    <col min="11265" max="11265" width="33.7109375" style="92" customWidth="1"/>
    <col min="11266" max="11266" width="9.140625" style="92"/>
    <col min="11267" max="11267" width="13.7109375" style="92" bestFit="1" customWidth="1"/>
    <col min="11268" max="11518" width="9.140625" style="92"/>
    <col min="11519" max="11519" width="5.28515625" style="92" customWidth="1"/>
    <col min="11520" max="11520" width="48.42578125" style="92" customWidth="1"/>
    <col min="11521" max="11521" width="33.7109375" style="92" customWidth="1"/>
    <col min="11522" max="11522" width="9.140625" style="92"/>
    <col min="11523" max="11523" width="13.7109375" style="92" bestFit="1" customWidth="1"/>
    <col min="11524" max="11774" width="9.140625" style="92"/>
    <col min="11775" max="11775" width="5.28515625" style="92" customWidth="1"/>
    <col min="11776" max="11776" width="48.42578125" style="92" customWidth="1"/>
    <col min="11777" max="11777" width="33.7109375" style="92" customWidth="1"/>
    <col min="11778" max="11778" width="9.140625" style="92"/>
    <col min="11779" max="11779" width="13.7109375" style="92" bestFit="1" customWidth="1"/>
    <col min="11780" max="12030" width="9.140625" style="92"/>
    <col min="12031" max="12031" width="5.28515625" style="92" customWidth="1"/>
    <col min="12032" max="12032" width="48.42578125" style="92" customWidth="1"/>
    <col min="12033" max="12033" width="33.7109375" style="92" customWidth="1"/>
    <col min="12034" max="12034" width="9.140625" style="92"/>
    <col min="12035" max="12035" width="13.7109375" style="92" bestFit="1" customWidth="1"/>
    <col min="12036" max="12286" width="9.140625" style="92"/>
    <col min="12287" max="12287" width="5.28515625" style="92" customWidth="1"/>
    <col min="12288" max="12288" width="48.42578125" style="92" customWidth="1"/>
    <col min="12289" max="12289" width="33.7109375" style="92" customWidth="1"/>
    <col min="12290" max="12290" width="9.140625" style="92"/>
    <col min="12291" max="12291" width="13.7109375" style="92" bestFit="1" customWidth="1"/>
    <col min="12292" max="12542" width="9.140625" style="92"/>
    <col min="12543" max="12543" width="5.28515625" style="92" customWidth="1"/>
    <col min="12544" max="12544" width="48.42578125" style="92" customWidth="1"/>
    <col min="12545" max="12545" width="33.7109375" style="92" customWidth="1"/>
    <col min="12546" max="12546" width="9.140625" style="92"/>
    <col min="12547" max="12547" width="13.7109375" style="92" bestFit="1" customWidth="1"/>
    <col min="12548" max="12798" width="9.140625" style="92"/>
    <col min="12799" max="12799" width="5.28515625" style="92" customWidth="1"/>
    <col min="12800" max="12800" width="48.42578125" style="92" customWidth="1"/>
    <col min="12801" max="12801" width="33.7109375" style="92" customWidth="1"/>
    <col min="12802" max="12802" width="9.140625" style="92"/>
    <col min="12803" max="12803" width="13.7109375" style="92" bestFit="1" customWidth="1"/>
    <col min="12804" max="13054" width="9.140625" style="92"/>
    <col min="13055" max="13055" width="5.28515625" style="92" customWidth="1"/>
    <col min="13056" max="13056" width="48.42578125" style="92" customWidth="1"/>
    <col min="13057" max="13057" width="33.7109375" style="92" customWidth="1"/>
    <col min="13058" max="13058" width="9.140625" style="92"/>
    <col min="13059" max="13059" width="13.7109375" style="92" bestFit="1" customWidth="1"/>
    <col min="13060" max="13310" width="9.140625" style="92"/>
    <col min="13311" max="13311" width="5.28515625" style="92" customWidth="1"/>
    <col min="13312" max="13312" width="48.42578125" style="92" customWidth="1"/>
    <col min="13313" max="13313" width="33.7109375" style="92" customWidth="1"/>
    <col min="13314" max="13314" width="9.140625" style="92"/>
    <col min="13315" max="13315" width="13.7109375" style="92" bestFit="1" customWidth="1"/>
    <col min="13316" max="13566" width="9.140625" style="92"/>
    <col min="13567" max="13567" width="5.28515625" style="92" customWidth="1"/>
    <col min="13568" max="13568" width="48.42578125" style="92" customWidth="1"/>
    <col min="13569" max="13569" width="33.7109375" style="92" customWidth="1"/>
    <col min="13570" max="13570" width="9.140625" style="92"/>
    <col min="13571" max="13571" width="13.7109375" style="92" bestFit="1" customWidth="1"/>
    <col min="13572" max="13822" width="9.140625" style="92"/>
    <col min="13823" max="13823" width="5.28515625" style="92" customWidth="1"/>
    <col min="13824" max="13824" width="48.42578125" style="92" customWidth="1"/>
    <col min="13825" max="13825" width="33.7109375" style="92" customWidth="1"/>
    <col min="13826" max="13826" width="9.140625" style="92"/>
    <col min="13827" max="13827" width="13.7109375" style="92" bestFit="1" customWidth="1"/>
    <col min="13828" max="14078" width="9.140625" style="92"/>
    <col min="14079" max="14079" width="5.28515625" style="92" customWidth="1"/>
    <col min="14080" max="14080" width="48.42578125" style="92" customWidth="1"/>
    <col min="14081" max="14081" width="33.7109375" style="92" customWidth="1"/>
    <col min="14082" max="14082" width="9.140625" style="92"/>
    <col min="14083" max="14083" width="13.7109375" style="92" bestFit="1" customWidth="1"/>
    <col min="14084" max="14334" width="9.140625" style="92"/>
    <col min="14335" max="14335" width="5.28515625" style="92" customWidth="1"/>
    <col min="14336" max="14336" width="48.42578125" style="92" customWidth="1"/>
    <col min="14337" max="14337" width="33.7109375" style="92" customWidth="1"/>
    <col min="14338" max="14338" width="9.140625" style="92"/>
    <col min="14339" max="14339" width="13.7109375" style="92" bestFit="1" customWidth="1"/>
    <col min="14340" max="14590" width="9.140625" style="92"/>
    <col min="14591" max="14591" width="5.28515625" style="92" customWidth="1"/>
    <col min="14592" max="14592" width="48.42578125" style="92" customWidth="1"/>
    <col min="14593" max="14593" width="33.7109375" style="92" customWidth="1"/>
    <col min="14594" max="14594" width="9.140625" style="92"/>
    <col min="14595" max="14595" width="13.7109375" style="92" bestFit="1" customWidth="1"/>
    <col min="14596" max="14846" width="9.140625" style="92"/>
    <col min="14847" max="14847" width="5.28515625" style="92" customWidth="1"/>
    <col min="14848" max="14848" width="48.42578125" style="92" customWidth="1"/>
    <col min="14849" max="14849" width="33.7109375" style="92" customWidth="1"/>
    <col min="14850" max="14850" width="9.140625" style="92"/>
    <col min="14851" max="14851" width="13.7109375" style="92" bestFit="1" customWidth="1"/>
    <col min="14852" max="15102" width="9.140625" style="92"/>
    <col min="15103" max="15103" width="5.28515625" style="92" customWidth="1"/>
    <col min="15104" max="15104" width="48.42578125" style="92" customWidth="1"/>
    <col min="15105" max="15105" width="33.7109375" style="92" customWidth="1"/>
    <col min="15106" max="15106" width="9.140625" style="92"/>
    <col min="15107" max="15107" width="13.7109375" style="92" bestFit="1" customWidth="1"/>
    <col min="15108" max="15358" width="9.140625" style="92"/>
    <col min="15359" max="15359" width="5.28515625" style="92" customWidth="1"/>
    <col min="15360" max="15360" width="48.42578125" style="92" customWidth="1"/>
    <col min="15361" max="15361" width="33.7109375" style="92" customWidth="1"/>
    <col min="15362" max="15362" width="9.140625" style="92"/>
    <col min="15363" max="15363" width="13.7109375" style="92" bestFit="1" customWidth="1"/>
    <col min="15364" max="15614" width="9.140625" style="92"/>
    <col min="15615" max="15615" width="5.28515625" style="92" customWidth="1"/>
    <col min="15616" max="15616" width="48.42578125" style="92" customWidth="1"/>
    <col min="15617" max="15617" width="33.7109375" style="92" customWidth="1"/>
    <col min="15618" max="15618" width="9.140625" style="92"/>
    <col min="15619" max="15619" width="13.7109375" style="92" bestFit="1" customWidth="1"/>
    <col min="15620" max="15870" width="9.140625" style="92"/>
    <col min="15871" max="15871" width="5.28515625" style="92" customWidth="1"/>
    <col min="15872" max="15872" width="48.42578125" style="92" customWidth="1"/>
    <col min="15873" max="15873" width="33.7109375" style="92" customWidth="1"/>
    <col min="15874" max="15874" width="9.140625" style="92"/>
    <col min="15875" max="15875" width="13.7109375" style="92" bestFit="1" customWidth="1"/>
    <col min="15876" max="16126" width="9.140625" style="92"/>
    <col min="16127" max="16127" width="5.28515625" style="92" customWidth="1"/>
    <col min="16128" max="16128" width="48.42578125" style="92" customWidth="1"/>
    <col min="16129" max="16129" width="33.7109375" style="92" customWidth="1"/>
    <col min="16130" max="16130" width="9.140625" style="92"/>
    <col min="16131" max="16131" width="13.7109375" style="92" bestFit="1" customWidth="1"/>
    <col min="16132" max="16384" width="9.140625" style="92"/>
  </cols>
  <sheetData>
    <row r="1" spans="1:11" x14ac:dyDescent="0.25">
      <c r="A1" s="204" t="s">
        <v>198</v>
      </c>
      <c r="B1" s="204"/>
      <c r="C1" s="204"/>
      <c r="D1" s="204"/>
      <c r="E1" s="204"/>
    </row>
    <row r="2" spans="1:11" x14ac:dyDescent="0.25">
      <c r="A2" s="204" t="s">
        <v>199</v>
      </c>
      <c r="B2" s="204"/>
      <c r="C2" s="204"/>
      <c r="D2" s="204"/>
      <c r="E2" s="204"/>
    </row>
    <row r="3" spans="1:11" x14ac:dyDescent="0.25">
      <c r="A3" s="204" t="s">
        <v>200</v>
      </c>
      <c r="B3" s="204"/>
      <c r="C3" s="204"/>
      <c r="D3" s="204"/>
      <c r="E3" s="204"/>
    </row>
    <row r="4" spans="1:11" x14ac:dyDescent="0.25">
      <c r="A4" s="203"/>
      <c r="B4" s="203"/>
      <c r="C4" s="203"/>
      <c r="D4" s="203"/>
      <c r="E4" s="203"/>
    </row>
    <row r="5" spans="1:11" x14ac:dyDescent="0.25">
      <c r="A5" s="203"/>
      <c r="B5" s="203"/>
      <c r="C5" s="203"/>
      <c r="D5" s="203"/>
      <c r="E5" s="203"/>
    </row>
    <row r="6" spans="1:11" x14ac:dyDescent="0.25">
      <c r="A6" s="203"/>
      <c r="B6" s="203"/>
      <c r="C6" s="203"/>
      <c r="D6" s="203"/>
      <c r="E6" s="203"/>
    </row>
    <row r="7" spans="1:11" x14ac:dyDescent="0.25">
      <c r="A7" s="203"/>
      <c r="B7" s="203"/>
      <c r="C7" s="203"/>
      <c r="D7" s="203"/>
      <c r="E7" s="203"/>
    </row>
    <row r="8" spans="1:11" x14ac:dyDescent="0.25">
      <c r="A8" s="205"/>
      <c r="B8" s="205"/>
      <c r="C8" s="205"/>
      <c r="D8" s="205"/>
      <c r="E8" s="205"/>
    </row>
    <row r="9" spans="1:11" x14ac:dyDescent="0.25">
      <c r="A9" s="204" t="s">
        <v>242</v>
      </c>
      <c r="B9" s="204"/>
      <c r="C9" s="204"/>
      <c r="D9" s="204"/>
      <c r="E9" s="204"/>
    </row>
    <row r="10" spans="1:11" x14ac:dyDescent="0.25">
      <c r="A10" s="204" t="s">
        <v>286</v>
      </c>
      <c r="B10" s="204"/>
      <c r="C10" s="204"/>
      <c r="D10" s="204"/>
      <c r="E10" s="204"/>
    </row>
    <row r="11" spans="1:11" x14ac:dyDescent="0.25">
      <c r="A11" s="204" t="s">
        <v>153</v>
      </c>
      <c r="B11" s="204"/>
      <c r="C11" s="204"/>
      <c r="D11" s="204"/>
      <c r="E11" s="204"/>
    </row>
    <row r="12" spans="1:11" x14ac:dyDescent="0.25">
      <c r="A12" s="207"/>
      <c r="B12" s="207"/>
      <c r="C12" s="207"/>
      <c r="D12" s="207"/>
      <c r="E12" s="207"/>
    </row>
    <row r="13" spans="1:11" x14ac:dyDescent="0.25">
      <c r="A13" s="90"/>
      <c r="B13" s="90"/>
      <c r="C13" s="91">
        <v>2020</v>
      </c>
      <c r="D13" s="91"/>
      <c r="E13" s="209"/>
      <c r="F13" s="210"/>
      <c r="G13" s="210"/>
    </row>
    <row r="14" spans="1:11" ht="15" customHeight="1" x14ac:dyDescent="0.25">
      <c r="B14" s="93" t="s">
        <v>243</v>
      </c>
      <c r="E14" s="210"/>
      <c r="F14" s="210"/>
      <c r="G14" s="210"/>
    </row>
    <row r="15" spans="1:11" x14ac:dyDescent="0.2">
      <c r="B15" s="93" t="s">
        <v>244</v>
      </c>
      <c r="C15" s="94"/>
      <c r="E15" s="210"/>
      <c r="F15" s="210"/>
      <c r="G15" s="210"/>
    </row>
    <row r="16" spans="1:11" x14ac:dyDescent="0.2">
      <c r="B16" s="95" t="s">
        <v>245</v>
      </c>
      <c r="C16" s="94">
        <v>338063345.01999998</v>
      </c>
      <c r="E16" s="211"/>
      <c r="F16" s="210"/>
      <c r="G16" s="212"/>
      <c r="H16" s="92" t="s">
        <v>251</v>
      </c>
      <c r="I16" s="92" t="s">
        <v>251</v>
      </c>
      <c r="J16" s="92" t="s">
        <v>251</v>
      </c>
      <c r="K16" s="92" t="s">
        <v>251</v>
      </c>
    </row>
    <row r="17" spans="1:106" s="89" customFormat="1" x14ac:dyDescent="0.2">
      <c r="B17" s="95" t="s">
        <v>246</v>
      </c>
      <c r="C17" s="94">
        <v>210806498.31999999</v>
      </c>
      <c r="D17" s="92"/>
      <c r="E17" s="211"/>
      <c r="F17" s="210"/>
      <c r="G17" s="212"/>
      <c r="H17" s="111"/>
      <c r="I17" s="111" t="s">
        <v>251</v>
      </c>
      <c r="J17" s="111" t="s">
        <v>251</v>
      </c>
      <c r="K17" s="111" t="s">
        <v>251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</row>
    <row r="18" spans="1:106" s="90" customFormat="1" x14ac:dyDescent="0.2">
      <c r="B18" s="95" t="s">
        <v>247</v>
      </c>
      <c r="C18" s="94">
        <v>63749774.409999996</v>
      </c>
      <c r="D18" s="92"/>
      <c r="E18" s="211"/>
      <c r="F18" s="210"/>
      <c r="G18" s="212"/>
      <c r="H18" s="111"/>
      <c r="I18" s="111" t="s">
        <v>251</v>
      </c>
      <c r="J18" s="111" t="s">
        <v>251</v>
      </c>
      <c r="K18" s="111" t="s">
        <v>251</v>
      </c>
      <c r="L18" s="92" t="s">
        <v>251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</row>
    <row r="19" spans="1:106" s="90" customFormat="1" x14ac:dyDescent="0.2">
      <c r="B19" s="95" t="s">
        <v>248</v>
      </c>
      <c r="C19" s="94">
        <v>253064.8</v>
      </c>
      <c r="D19" s="92"/>
      <c r="E19" s="211"/>
      <c r="F19" s="210"/>
      <c r="G19" s="212"/>
      <c r="H19" s="111"/>
      <c r="I19" s="111" t="s">
        <v>251</v>
      </c>
      <c r="J19" s="111" t="s">
        <v>251</v>
      </c>
      <c r="K19" s="111" t="s">
        <v>251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</row>
    <row r="20" spans="1:106" ht="13.5" thickBot="1" x14ac:dyDescent="0.25">
      <c r="B20" s="93" t="s">
        <v>249</v>
      </c>
      <c r="C20" s="96">
        <f>SUM(C16:C19)</f>
        <v>612872682.54999983</v>
      </c>
      <c r="E20" s="98"/>
      <c r="F20" s="210"/>
      <c r="G20" s="212"/>
      <c r="H20" s="111"/>
      <c r="I20" s="111" t="s">
        <v>251</v>
      </c>
      <c r="J20" s="111" t="s">
        <v>251</v>
      </c>
      <c r="K20" s="111" t="s">
        <v>251</v>
      </c>
    </row>
    <row r="21" spans="1:106" ht="15" x14ac:dyDescent="0.25">
      <c r="B21" s="97"/>
      <c r="C21" s="98"/>
      <c r="E21" s="98"/>
      <c r="F21" s="210"/>
      <c r="G21" s="212"/>
      <c r="H21" s="156"/>
      <c r="I21" s="92" t="s">
        <v>251</v>
      </c>
      <c r="J21" s="92" t="s">
        <v>251</v>
      </c>
      <c r="K21" s="92" t="s">
        <v>251</v>
      </c>
    </row>
    <row r="22" spans="1:106" x14ac:dyDescent="0.2">
      <c r="B22" s="93" t="s">
        <v>250</v>
      </c>
      <c r="C22" s="94"/>
      <c r="E22" s="211"/>
      <c r="F22" s="210"/>
      <c r="G22" s="212"/>
      <c r="I22" s="92" t="s">
        <v>251</v>
      </c>
      <c r="J22" s="92" t="s">
        <v>251</v>
      </c>
      <c r="K22" s="92" t="s">
        <v>251</v>
      </c>
    </row>
    <row r="23" spans="1:106" x14ac:dyDescent="0.2">
      <c r="B23" s="95" t="s">
        <v>252</v>
      </c>
      <c r="C23" s="94">
        <v>57727936.25</v>
      </c>
      <c r="E23" s="211"/>
      <c r="F23" s="210"/>
      <c r="G23" s="212"/>
      <c r="H23" s="111"/>
      <c r="I23" s="111" t="s">
        <v>251</v>
      </c>
      <c r="J23" s="111" t="s">
        <v>251</v>
      </c>
      <c r="K23" s="111" t="s">
        <v>251</v>
      </c>
    </row>
    <row r="24" spans="1:106" ht="13.5" thickBot="1" x14ac:dyDescent="0.25">
      <c r="B24" s="93" t="s">
        <v>253</v>
      </c>
      <c r="C24" s="96">
        <f>SUM(C23)</f>
        <v>57727936.25</v>
      </c>
      <c r="E24" s="98"/>
      <c r="F24" s="210"/>
      <c r="G24" s="212"/>
      <c r="H24" s="111"/>
      <c r="I24" s="111" t="s">
        <v>251</v>
      </c>
      <c r="J24" s="111" t="s">
        <v>251</v>
      </c>
      <c r="K24" s="111" t="s">
        <v>251</v>
      </c>
    </row>
    <row r="25" spans="1:106" ht="15" x14ac:dyDescent="0.25">
      <c r="B25" s="97"/>
      <c r="C25" s="99"/>
      <c r="E25" s="98"/>
      <c r="F25" s="210"/>
      <c r="G25" s="212"/>
      <c r="H25" s="113" t="s">
        <v>279</v>
      </c>
      <c r="I25" s="113" t="s">
        <v>251</v>
      </c>
      <c r="J25" s="113" t="s">
        <v>251</v>
      </c>
      <c r="K25" s="113" t="s">
        <v>251</v>
      </c>
      <c r="L25" s="92" t="s">
        <v>251</v>
      </c>
      <c r="M25" s="92" t="s">
        <v>251</v>
      </c>
    </row>
    <row r="26" spans="1:106" ht="13.5" thickBot="1" x14ac:dyDescent="0.25">
      <c r="B26" s="93" t="s">
        <v>154</v>
      </c>
      <c r="C26" s="100">
        <f>C20+C24</f>
        <v>670600618.79999983</v>
      </c>
      <c r="E26" s="98"/>
      <c r="F26" s="210"/>
      <c r="G26" s="212"/>
      <c r="H26" s="111" t="s">
        <v>251</v>
      </c>
    </row>
    <row r="27" spans="1:106" ht="15.75" thickTop="1" x14ac:dyDescent="0.25">
      <c r="B27" s="97"/>
      <c r="C27" s="98"/>
      <c r="E27" s="98"/>
      <c r="F27" s="210"/>
      <c r="G27" s="212"/>
      <c r="H27" s="113" t="s">
        <v>251</v>
      </c>
    </row>
    <row r="28" spans="1:106" x14ac:dyDescent="0.2">
      <c r="B28" s="93" t="s">
        <v>254</v>
      </c>
      <c r="C28" s="94"/>
      <c r="E28" s="211"/>
      <c r="F28" s="210"/>
      <c r="G28" s="212"/>
      <c r="H28" s="214"/>
      <c r="I28" s="210"/>
      <c r="J28" s="210"/>
      <c r="K28" s="210"/>
      <c r="L28" s="210"/>
      <c r="M28" s="210"/>
      <c r="N28" s="210"/>
      <c r="O28" s="210"/>
    </row>
    <row r="29" spans="1:106" x14ac:dyDescent="0.2">
      <c r="B29" s="93" t="s">
        <v>255</v>
      </c>
      <c r="C29" s="94"/>
      <c r="E29" s="211"/>
      <c r="F29" s="210"/>
      <c r="G29" s="212"/>
      <c r="H29" s="214"/>
      <c r="I29" s="210"/>
      <c r="J29" s="210"/>
      <c r="K29" s="210"/>
      <c r="L29" s="210"/>
      <c r="M29" s="210"/>
      <c r="N29" s="210"/>
      <c r="O29" s="210"/>
    </row>
    <row r="30" spans="1:106" x14ac:dyDescent="0.2">
      <c r="B30" s="95" t="s">
        <v>256</v>
      </c>
      <c r="C30" s="94">
        <v>59070213.43</v>
      </c>
      <c r="E30" s="211"/>
      <c r="F30" s="210"/>
      <c r="G30" s="212"/>
      <c r="H30" s="212"/>
      <c r="I30" s="212"/>
      <c r="J30" s="215"/>
      <c r="K30" s="215"/>
      <c r="L30" s="216"/>
      <c r="M30" s="216"/>
      <c r="N30" s="216"/>
      <c r="O30" s="210"/>
    </row>
    <row r="31" spans="1:106" x14ac:dyDescent="0.2">
      <c r="B31" s="95" t="s">
        <v>257</v>
      </c>
      <c r="C31" s="94">
        <v>74306.535000000003</v>
      </c>
      <c r="E31" s="211"/>
      <c r="F31" s="210"/>
      <c r="G31" s="212"/>
      <c r="H31" s="213"/>
      <c r="I31" s="216"/>
      <c r="J31" s="213"/>
      <c r="K31" s="213"/>
      <c r="L31" s="213"/>
      <c r="M31" s="213"/>
      <c r="N31" s="213"/>
      <c r="O31" s="210"/>
    </row>
    <row r="32" spans="1:106" ht="13.5" thickBot="1" x14ac:dyDescent="0.25">
      <c r="A32" s="92" t="s">
        <v>337</v>
      </c>
      <c r="B32" s="93" t="s">
        <v>258</v>
      </c>
      <c r="C32" s="96">
        <f>SUM(C30:C31)</f>
        <v>59144519.964999996</v>
      </c>
      <c r="E32" s="98"/>
      <c r="F32" s="210"/>
      <c r="G32" s="212"/>
      <c r="H32" s="213"/>
      <c r="I32" s="210"/>
      <c r="J32" s="213"/>
      <c r="K32" s="213"/>
      <c r="L32" s="213"/>
      <c r="M32" s="213"/>
      <c r="N32" s="213"/>
      <c r="O32" s="210"/>
    </row>
    <row r="33" spans="1:15" ht="15" x14ac:dyDescent="0.25">
      <c r="B33" s="97"/>
      <c r="C33" s="99"/>
      <c r="E33" s="98"/>
      <c r="F33" s="210"/>
      <c r="G33" s="212"/>
      <c r="H33" s="210"/>
      <c r="I33" s="210"/>
      <c r="J33" s="213"/>
      <c r="K33" s="213"/>
      <c r="L33" s="213"/>
      <c r="M33" s="213"/>
      <c r="N33" s="217"/>
      <c r="O33" s="214"/>
    </row>
    <row r="34" spans="1:15" ht="13.5" thickBot="1" x14ac:dyDescent="0.25">
      <c r="B34" s="93" t="s">
        <v>259</v>
      </c>
      <c r="C34" s="100">
        <f>C32</f>
        <v>59144519.964999996</v>
      </c>
      <c r="E34" s="98"/>
      <c r="F34" s="210"/>
      <c r="G34" s="212"/>
      <c r="H34" s="214"/>
      <c r="I34" s="210"/>
      <c r="J34" s="213"/>
      <c r="K34" s="213"/>
      <c r="L34" s="217"/>
      <c r="M34" s="213"/>
      <c r="N34" s="213"/>
      <c r="O34" s="210"/>
    </row>
    <row r="35" spans="1:15" ht="13.5" thickTop="1" x14ac:dyDescent="0.2">
      <c r="B35" s="93"/>
      <c r="C35" s="98"/>
      <c r="E35" s="98"/>
      <c r="F35" s="210"/>
      <c r="G35" s="212"/>
      <c r="H35" s="210"/>
      <c r="I35" s="210"/>
      <c r="J35" s="213"/>
      <c r="K35" s="213"/>
      <c r="L35" s="210"/>
      <c r="M35" s="210"/>
      <c r="N35" s="210"/>
      <c r="O35" s="210"/>
    </row>
    <row r="36" spans="1:15" ht="15" x14ac:dyDescent="0.25">
      <c r="B36" s="102" t="s">
        <v>260</v>
      </c>
      <c r="C36" s="99"/>
      <c r="E36" s="98"/>
      <c r="F36" s="210"/>
      <c r="G36" s="212"/>
      <c r="H36" s="101" t="s">
        <v>251</v>
      </c>
      <c r="I36" s="101" t="s">
        <v>251</v>
      </c>
      <c r="J36" s="101" t="s">
        <v>251</v>
      </c>
      <c r="K36" s="111" t="s">
        <v>251</v>
      </c>
      <c r="M36" s="111" t="s">
        <v>251</v>
      </c>
    </row>
    <row r="37" spans="1:15" x14ac:dyDescent="0.2">
      <c r="B37" s="95" t="s">
        <v>261</v>
      </c>
      <c r="C37" s="94">
        <v>534638142.77999997</v>
      </c>
      <c r="E37" s="211"/>
      <c r="F37" s="210"/>
      <c r="G37" s="212"/>
      <c r="H37" s="111" t="s">
        <v>280</v>
      </c>
      <c r="I37" s="111" t="s">
        <v>251</v>
      </c>
      <c r="J37" s="111" t="s">
        <v>251</v>
      </c>
      <c r="K37" s="111" t="s">
        <v>251</v>
      </c>
    </row>
    <row r="38" spans="1:15" ht="25.5" x14ac:dyDescent="0.25">
      <c r="B38" s="95" t="s">
        <v>262</v>
      </c>
      <c r="C38" s="101">
        <v>34736290.732278302</v>
      </c>
      <c r="E38" s="212"/>
      <c r="F38" s="210"/>
      <c r="G38" s="212"/>
      <c r="H38" s="113" t="s">
        <v>251</v>
      </c>
      <c r="I38" s="92" t="s">
        <v>251</v>
      </c>
      <c r="J38" s="92" t="s">
        <v>251</v>
      </c>
      <c r="K38" s="111" t="s">
        <v>251</v>
      </c>
    </row>
    <row r="39" spans="1:15" x14ac:dyDescent="0.2">
      <c r="B39" s="95" t="s">
        <v>263</v>
      </c>
      <c r="C39" s="94">
        <v>42081665.32</v>
      </c>
      <c r="E39" s="211"/>
      <c r="F39" s="210"/>
      <c r="G39" s="212"/>
      <c r="H39" s="111" t="s">
        <v>251</v>
      </c>
      <c r="I39" s="111" t="s">
        <v>251</v>
      </c>
      <c r="J39" s="111"/>
      <c r="K39" s="111" t="s">
        <v>251</v>
      </c>
    </row>
    <row r="40" spans="1:15" ht="13.5" thickBot="1" x14ac:dyDescent="0.25">
      <c r="B40" s="95" t="s">
        <v>264</v>
      </c>
      <c r="C40" s="96">
        <f>SUM(C37:C39)</f>
        <v>611456098.83227837</v>
      </c>
      <c r="E40" s="98"/>
      <c r="F40" s="210"/>
      <c r="G40" s="212"/>
      <c r="H40" s="92" t="s">
        <v>251</v>
      </c>
      <c r="K40" s="111" t="s">
        <v>251</v>
      </c>
    </row>
    <row r="41" spans="1:15" ht="15" x14ac:dyDescent="0.25">
      <c r="B41" s="97"/>
      <c r="C41" s="99"/>
      <c r="E41" s="98"/>
      <c r="F41" s="210"/>
      <c r="G41" s="212"/>
      <c r="H41" s="92" t="s">
        <v>251</v>
      </c>
      <c r="J41" s="101"/>
      <c r="K41" s="111"/>
    </row>
    <row r="42" spans="1:15" ht="13.5" thickBot="1" x14ac:dyDescent="0.25">
      <c r="B42" s="93" t="s">
        <v>322</v>
      </c>
      <c r="C42" s="100">
        <f>+C34+C40</f>
        <v>670600618.7972784</v>
      </c>
      <c r="E42" s="98"/>
      <c r="F42" s="210"/>
      <c r="G42" s="212"/>
      <c r="H42" s="92" t="s">
        <v>251</v>
      </c>
      <c r="J42" s="111"/>
      <c r="K42" s="111"/>
    </row>
    <row r="43" spans="1:15" ht="13.5" thickTop="1" x14ac:dyDescent="0.25">
      <c r="B43" s="103"/>
      <c r="C43" s="15"/>
      <c r="E43" s="210"/>
      <c r="F43" s="210"/>
      <c r="G43" s="213"/>
      <c r="H43" s="92" t="s">
        <v>251</v>
      </c>
      <c r="I43" s="92" t="s">
        <v>251</v>
      </c>
      <c r="J43" s="101"/>
      <c r="K43" s="111" t="s">
        <v>251</v>
      </c>
      <c r="L43" s="92" t="s">
        <v>251</v>
      </c>
    </row>
    <row r="44" spans="1:15" x14ac:dyDescent="0.25">
      <c r="B44" s="103"/>
      <c r="C44" s="15"/>
      <c r="D44" s="92" t="s">
        <v>251</v>
      </c>
      <c r="E44" s="111" t="s">
        <v>251</v>
      </c>
      <c r="G44" s="111" t="s">
        <v>251</v>
      </c>
      <c r="H44" s="113" t="s">
        <v>251</v>
      </c>
      <c r="I44" s="113" t="s">
        <v>251</v>
      </c>
      <c r="J44" s="113"/>
      <c r="K44" s="111" t="s">
        <v>251</v>
      </c>
      <c r="L44" s="92" t="s">
        <v>251</v>
      </c>
    </row>
    <row r="45" spans="1:15" x14ac:dyDescent="0.25">
      <c r="B45" s="103"/>
      <c r="C45" s="15" t="s">
        <v>251</v>
      </c>
      <c r="D45" s="92" t="s">
        <v>251</v>
      </c>
      <c r="E45" s="111" t="s">
        <v>251</v>
      </c>
      <c r="G45" s="111" t="s">
        <v>281</v>
      </c>
      <c r="H45" s="111" t="s">
        <v>251</v>
      </c>
      <c r="I45" s="111" t="s">
        <v>251</v>
      </c>
      <c r="J45" s="111"/>
      <c r="K45" s="111" t="s">
        <v>251</v>
      </c>
      <c r="L45" s="92" t="s">
        <v>251</v>
      </c>
    </row>
    <row r="46" spans="1:15" customFormat="1" ht="15" x14ac:dyDescent="0.25">
      <c r="A46" s="206" t="s">
        <v>251</v>
      </c>
      <c r="B46" s="206"/>
      <c r="C46" s="206"/>
      <c r="D46" s="206"/>
      <c r="E46" s="206"/>
      <c r="G46" s="21" t="s">
        <v>251</v>
      </c>
      <c r="H46" s="21" t="s">
        <v>251</v>
      </c>
      <c r="I46" s="21" t="s">
        <v>251</v>
      </c>
      <c r="J46" s="21" t="s">
        <v>251</v>
      </c>
      <c r="K46" s="21" t="s">
        <v>251</v>
      </c>
      <c r="L46" t="s">
        <v>251</v>
      </c>
    </row>
    <row r="47" spans="1:15" customFormat="1" ht="15" x14ac:dyDescent="0.25">
      <c r="A47" s="206"/>
      <c r="B47" s="206"/>
      <c r="C47" s="206"/>
      <c r="D47" s="206"/>
      <c r="E47" s="206"/>
      <c r="G47" s="21" t="s">
        <v>280</v>
      </c>
      <c r="H47" s="21" t="s">
        <v>251</v>
      </c>
      <c r="I47" s="21" t="s">
        <v>251</v>
      </c>
      <c r="J47" s="21" t="s">
        <v>251</v>
      </c>
      <c r="K47" s="21" t="s">
        <v>251</v>
      </c>
      <c r="L47" t="s">
        <v>251</v>
      </c>
    </row>
    <row r="48" spans="1:15" customFormat="1" ht="15" x14ac:dyDescent="0.25">
      <c r="C48" s="218" t="s">
        <v>633</v>
      </c>
      <c r="D48" s="218"/>
      <c r="E48" s="218"/>
      <c r="F48" s="218"/>
      <c r="G48" s="218"/>
      <c r="K48" s="21"/>
      <c r="L48" t="s">
        <v>251</v>
      </c>
    </row>
    <row r="49" spans="1:12" customFormat="1" ht="15" x14ac:dyDescent="0.25">
      <c r="C49" s="218" t="s">
        <v>644</v>
      </c>
      <c r="D49" s="218"/>
      <c r="E49" s="218"/>
      <c r="F49" s="218"/>
      <c r="G49" s="218"/>
      <c r="H49" s="112" t="s">
        <v>251</v>
      </c>
      <c r="I49" s="112" t="s">
        <v>251</v>
      </c>
      <c r="J49" s="112" t="s">
        <v>251</v>
      </c>
      <c r="K49" s="21" t="s">
        <v>251</v>
      </c>
      <c r="L49" t="s">
        <v>251</v>
      </c>
    </row>
    <row r="50" spans="1:12" customFormat="1" ht="15" x14ac:dyDescent="0.25">
      <c r="G50" s="112" t="s">
        <v>251</v>
      </c>
      <c r="H50" s="112" t="s">
        <v>251</v>
      </c>
      <c r="I50" s="112" t="s">
        <v>251</v>
      </c>
      <c r="J50" s="112" t="s">
        <v>251</v>
      </c>
      <c r="K50" s="21" t="s">
        <v>251</v>
      </c>
    </row>
    <row r="51" spans="1:12" customFormat="1" ht="15" x14ac:dyDescent="0.25">
      <c r="A51" s="206"/>
      <c r="B51" s="206"/>
      <c r="C51" s="206"/>
      <c r="D51" s="206"/>
      <c r="E51" s="206"/>
      <c r="K51" s="21"/>
    </row>
    <row r="52" spans="1:12" customFormat="1" ht="15" x14ac:dyDescent="0.25">
      <c r="A52" s="206"/>
      <c r="B52" s="206"/>
      <c r="C52" s="206"/>
      <c r="D52" s="206"/>
      <c r="E52" s="206"/>
    </row>
    <row r="53" spans="1:12" customFormat="1" ht="15" x14ac:dyDescent="0.25"/>
    <row r="54" spans="1:12" customFormat="1" ht="15" x14ac:dyDescent="0.25"/>
    <row r="55" spans="1:12" customFormat="1" ht="15" x14ac:dyDescent="0.25"/>
    <row r="56" spans="1:12" customFormat="1" ht="15" x14ac:dyDescent="0.25"/>
    <row r="57" spans="1:12" x14ac:dyDescent="0.25">
      <c r="B57" s="103"/>
      <c r="C57" s="15"/>
    </row>
    <row r="58" spans="1:12" x14ac:dyDescent="0.25">
      <c r="A58" s="16"/>
      <c r="B58" s="104"/>
    </row>
    <row r="59" spans="1:12" x14ac:dyDescent="0.25">
      <c r="A59" s="16"/>
      <c r="B59" s="105"/>
    </row>
    <row r="60" spans="1:12" x14ac:dyDescent="0.25">
      <c r="A60" s="16"/>
      <c r="B60" s="105"/>
    </row>
    <row r="61" spans="1:12" x14ac:dyDescent="0.25">
      <c r="A61" s="16"/>
      <c r="B61" s="105"/>
    </row>
    <row r="62" spans="1:12" x14ac:dyDescent="0.25">
      <c r="A62" s="16"/>
      <c r="B62" s="105"/>
    </row>
    <row r="63" spans="1:12" x14ac:dyDescent="0.25">
      <c r="A63" s="16"/>
      <c r="B63" s="105"/>
    </row>
    <row r="64" spans="1:12" x14ac:dyDescent="0.25">
      <c r="A64" s="16"/>
      <c r="B64" s="105"/>
    </row>
    <row r="65" spans="1:2" x14ac:dyDescent="0.25">
      <c r="A65" s="16"/>
      <c r="B65" s="105"/>
    </row>
    <row r="66" spans="1:2" x14ac:dyDescent="0.25">
      <c r="A66" s="16"/>
      <c r="B66" s="105"/>
    </row>
    <row r="67" spans="1:2" x14ac:dyDescent="0.25">
      <c r="A67" s="16"/>
      <c r="B67" s="105"/>
    </row>
    <row r="68" spans="1:2" x14ac:dyDescent="0.25">
      <c r="A68" s="16"/>
      <c r="B68" s="105"/>
    </row>
    <row r="69" spans="1:2" x14ac:dyDescent="0.25">
      <c r="A69" s="16"/>
      <c r="B69" s="105"/>
    </row>
    <row r="70" spans="1:2" x14ac:dyDescent="0.25">
      <c r="A70" s="16"/>
      <c r="B70" s="105"/>
    </row>
    <row r="71" spans="1:2" x14ac:dyDescent="0.25">
      <c r="A71" s="16"/>
      <c r="B71" s="105"/>
    </row>
    <row r="72" spans="1:2" x14ac:dyDescent="0.25">
      <c r="A72" s="16"/>
      <c r="B72" s="105"/>
    </row>
    <row r="73" spans="1:2" x14ac:dyDescent="0.25">
      <c r="A73" s="16"/>
      <c r="B73" s="105"/>
    </row>
    <row r="74" spans="1:2" x14ac:dyDescent="0.25">
      <c r="A74" s="16"/>
      <c r="B74" s="105"/>
    </row>
    <row r="75" spans="1:2" x14ac:dyDescent="0.25">
      <c r="A75" s="16"/>
      <c r="B75" s="105"/>
    </row>
    <row r="76" spans="1:2" x14ac:dyDescent="0.25">
      <c r="A76" s="16"/>
      <c r="B76" s="105"/>
    </row>
    <row r="77" spans="1:2" x14ac:dyDescent="0.25">
      <c r="A77" s="16"/>
      <c r="B77" s="105"/>
    </row>
    <row r="78" spans="1:2" x14ac:dyDescent="0.25">
      <c r="A78" s="16"/>
      <c r="B78" s="105"/>
    </row>
    <row r="79" spans="1:2" x14ac:dyDescent="0.25">
      <c r="A79" s="16"/>
      <c r="B79" s="105"/>
    </row>
    <row r="80" spans="1:2" x14ac:dyDescent="0.25">
      <c r="A80" s="16"/>
      <c r="B80" s="105"/>
    </row>
    <row r="81" spans="1:2" x14ac:dyDescent="0.25">
      <c r="A81" s="16"/>
      <c r="B81" s="105"/>
    </row>
    <row r="82" spans="1:2" x14ac:dyDescent="0.25">
      <c r="A82" s="16"/>
    </row>
    <row r="83" spans="1:2" x14ac:dyDescent="0.25">
      <c r="A83" s="16"/>
    </row>
    <row r="84" spans="1:2" x14ac:dyDescent="0.25">
      <c r="A84" s="16"/>
    </row>
    <row r="85" spans="1:2" x14ac:dyDescent="0.25">
      <c r="A85" s="16"/>
      <c r="B85" s="105"/>
    </row>
    <row r="86" spans="1:2" x14ac:dyDescent="0.25">
      <c r="A86" s="16"/>
      <c r="B86" s="105"/>
    </row>
    <row r="87" spans="1:2" x14ac:dyDescent="0.25">
      <c r="A87" s="16"/>
    </row>
    <row r="88" spans="1:2" x14ac:dyDescent="0.25">
      <c r="A88" s="16"/>
      <c r="B88" s="105"/>
    </row>
    <row r="89" spans="1:2" x14ac:dyDescent="0.25">
      <c r="A89" s="16"/>
      <c r="B89" s="105"/>
    </row>
    <row r="90" spans="1:2" x14ac:dyDescent="0.25">
      <c r="A90" s="16"/>
      <c r="B90" s="105"/>
    </row>
    <row r="91" spans="1:2" x14ac:dyDescent="0.25">
      <c r="A91" s="16"/>
      <c r="B91" s="105"/>
    </row>
    <row r="92" spans="1:2" x14ac:dyDescent="0.25">
      <c r="A92" s="16"/>
      <c r="B92" s="105"/>
    </row>
    <row r="93" spans="1:2" x14ac:dyDescent="0.25">
      <c r="A93" s="16"/>
      <c r="B93" s="105"/>
    </row>
    <row r="94" spans="1:2" x14ac:dyDescent="0.25">
      <c r="A94" s="16"/>
      <c r="B94" s="105"/>
    </row>
    <row r="95" spans="1:2" x14ac:dyDescent="0.25">
      <c r="A95" s="16"/>
      <c r="B95" s="105"/>
    </row>
    <row r="96" spans="1:2" x14ac:dyDescent="0.25">
      <c r="A96" s="16"/>
      <c r="B96" s="105"/>
    </row>
    <row r="97" spans="1:2" x14ac:dyDescent="0.25">
      <c r="A97" s="16"/>
      <c r="B97" s="105"/>
    </row>
    <row r="98" spans="1:2" x14ac:dyDescent="0.25">
      <c r="A98" s="16"/>
      <c r="B98" s="105"/>
    </row>
    <row r="99" spans="1:2" x14ac:dyDescent="0.25">
      <c r="A99" s="16"/>
      <c r="B99" s="105"/>
    </row>
    <row r="100" spans="1:2" x14ac:dyDescent="0.25">
      <c r="A100" s="16"/>
      <c r="B100" s="105"/>
    </row>
    <row r="101" spans="1:2" x14ac:dyDescent="0.25">
      <c r="A101" s="16"/>
      <c r="B101" s="105"/>
    </row>
    <row r="102" spans="1:2" x14ac:dyDescent="0.25">
      <c r="A102" s="16"/>
      <c r="B102" s="105"/>
    </row>
    <row r="103" spans="1:2" x14ac:dyDescent="0.25">
      <c r="A103" s="16"/>
      <c r="B103" s="105"/>
    </row>
    <row r="104" spans="1:2" x14ac:dyDescent="0.25">
      <c r="A104" s="16"/>
      <c r="B104" s="105"/>
    </row>
    <row r="105" spans="1:2" x14ac:dyDescent="0.25">
      <c r="A105" s="16"/>
      <c r="B105" s="105"/>
    </row>
    <row r="106" spans="1:2" x14ac:dyDescent="0.25">
      <c r="A106" s="16"/>
      <c r="B106" s="105"/>
    </row>
    <row r="107" spans="1:2" x14ac:dyDescent="0.25">
      <c r="A107" s="16"/>
      <c r="B107" s="105"/>
    </row>
    <row r="108" spans="1:2" x14ac:dyDescent="0.25">
      <c r="A108" s="16"/>
      <c r="B108" s="105"/>
    </row>
    <row r="109" spans="1:2" x14ac:dyDescent="0.25">
      <c r="A109" s="16"/>
      <c r="B109" s="105"/>
    </row>
    <row r="110" spans="1:2" x14ac:dyDescent="0.25">
      <c r="A110" s="16"/>
      <c r="B110" s="105"/>
    </row>
    <row r="111" spans="1:2" x14ac:dyDescent="0.25">
      <c r="A111" s="16"/>
      <c r="B111" s="105"/>
    </row>
    <row r="112" spans="1:2" x14ac:dyDescent="0.25">
      <c r="A112" s="16"/>
      <c r="B112" s="105"/>
    </row>
    <row r="113" spans="1:2" x14ac:dyDescent="0.25">
      <c r="A113" s="16"/>
      <c r="B113" s="105"/>
    </row>
    <row r="114" spans="1:2" x14ac:dyDescent="0.25">
      <c r="A114" s="16"/>
      <c r="B114" s="105"/>
    </row>
    <row r="115" spans="1:2" x14ac:dyDescent="0.25">
      <c r="A115" s="16"/>
      <c r="B115" s="105"/>
    </row>
    <row r="116" spans="1:2" x14ac:dyDescent="0.25">
      <c r="A116" s="16"/>
      <c r="B116" s="105"/>
    </row>
    <row r="117" spans="1:2" x14ac:dyDescent="0.25">
      <c r="A117" s="16"/>
      <c r="B117" s="105"/>
    </row>
    <row r="118" spans="1:2" x14ac:dyDescent="0.25">
      <c r="A118" s="16"/>
      <c r="B118" s="105"/>
    </row>
    <row r="119" spans="1:2" x14ac:dyDescent="0.25">
      <c r="A119" s="16"/>
      <c r="B119" s="105"/>
    </row>
    <row r="120" spans="1:2" x14ac:dyDescent="0.25">
      <c r="A120" s="16"/>
      <c r="B120" s="105"/>
    </row>
    <row r="121" spans="1:2" x14ac:dyDescent="0.25">
      <c r="A121" s="16"/>
      <c r="B121" s="105"/>
    </row>
    <row r="122" spans="1:2" x14ac:dyDescent="0.25">
      <c r="A122" s="16"/>
      <c r="B122" s="105"/>
    </row>
    <row r="123" spans="1:2" x14ac:dyDescent="0.25">
      <c r="A123" s="16"/>
      <c r="B123" s="105"/>
    </row>
    <row r="124" spans="1:2" x14ac:dyDescent="0.25">
      <c r="A124" s="16"/>
      <c r="B124" s="105"/>
    </row>
    <row r="125" spans="1:2" x14ac:dyDescent="0.25">
      <c r="A125" s="16"/>
      <c r="B125" s="105"/>
    </row>
    <row r="126" spans="1:2" x14ac:dyDescent="0.25">
      <c r="A126" s="16"/>
      <c r="B126" s="105"/>
    </row>
    <row r="127" spans="1:2" x14ac:dyDescent="0.25">
      <c r="A127" s="16"/>
      <c r="B127" s="105"/>
    </row>
    <row r="128" spans="1:2" x14ac:dyDescent="0.25">
      <c r="A128" s="16"/>
      <c r="B128" s="105"/>
    </row>
    <row r="129" spans="1:2" x14ac:dyDescent="0.25">
      <c r="A129" s="16"/>
      <c r="B129" s="105"/>
    </row>
    <row r="130" spans="1:2" x14ac:dyDescent="0.25">
      <c r="A130" s="16"/>
      <c r="B130" s="105"/>
    </row>
    <row r="131" spans="1:2" x14ac:dyDescent="0.25">
      <c r="A131" s="16"/>
      <c r="B131" s="105"/>
    </row>
    <row r="132" spans="1:2" x14ac:dyDescent="0.25">
      <c r="A132" s="16"/>
      <c r="B132" s="105"/>
    </row>
    <row r="133" spans="1:2" x14ac:dyDescent="0.25">
      <c r="A133" s="16"/>
      <c r="B133" s="105"/>
    </row>
    <row r="134" spans="1:2" x14ac:dyDescent="0.25">
      <c r="A134" s="16"/>
      <c r="B134" s="105"/>
    </row>
    <row r="135" spans="1:2" x14ac:dyDescent="0.25">
      <c r="A135" s="16"/>
      <c r="B135" s="105"/>
    </row>
    <row r="136" spans="1:2" x14ac:dyDescent="0.25">
      <c r="A136" s="16"/>
      <c r="B136" s="105"/>
    </row>
    <row r="137" spans="1:2" x14ac:dyDescent="0.25">
      <c r="A137" s="16"/>
      <c r="B137" s="105"/>
    </row>
    <row r="138" spans="1:2" x14ac:dyDescent="0.25">
      <c r="A138" s="16"/>
      <c r="B138" s="105"/>
    </row>
    <row r="139" spans="1:2" x14ac:dyDescent="0.25">
      <c r="A139" s="16"/>
      <c r="B139" s="105"/>
    </row>
    <row r="140" spans="1:2" x14ac:dyDescent="0.25">
      <c r="A140" s="16"/>
      <c r="B140" s="105"/>
    </row>
    <row r="141" spans="1:2" x14ac:dyDescent="0.25">
      <c r="A141" s="16"/>
      <c r="B141" s="105"/>
    </row>
    <row r="142" spans="1:2" x14ac:dyDescent="0.25">
      <c r="A142" s="16"/>
      <c r="B142" s="105"/>
    </row>
    <row r="143" spans="1:2" x14ac:dyDescent="0.25">
      <c r="A143" s="16"/>
      <c r="B143" s="105"/>
    </row>
    <row r="144" spans="1:2" x14ac:dyDescent="0.25">
      <c r="A144" s="16"/>
      <c r="B144" s="105"/>
    </row>
    <row r="145" spans="1:2" x14ac:dyDescent="0.25">
      <c r="A145" s="16"/>
      <c r="B145" s="105"/>
    </row>
    <row r="146" spans="1:2" x14ac:dyDescent="0.25">
      <c r="A146" s="16"/>
      <c r="B146" s="105"/>
    </row>
    <row r="147" spans="1:2" x14ac:dyDescent="0.25">
      <c r="A147" s="16"/>
      <c r="B147" s="105"/>
    </row>
    <row r="148" spans="1:2" x14ac:dyDescent="0.25">
      <c r="A148" s="16"/>
      <c r="B148" s="105"/>
    </row>
    <row r="149" spans="1:2" x14ac:dyDescent="0.25">
      <c r="A149" s="16"/>
      <c r="B149" s="105"/>
    </row>
    <row r="150" spans="1:2" x14ac:dyDescent="0.25">
      <c r="A150" s="16"/>
      <c r="B150" s="105"/>
    </row>
    <row r="151" spans="1:2" x14ac:dyDescent="0.25">
      <c r="A151" s="16"/>
      <c r="B151" s="105"/>
    </row>
    <row r="152" spans="1:2" x14ac:dyDescent="0.25">
      <c r="A152" s="16"/>
      <c r="B152" s="105"/>
    </row>
    <row r="153" spans="1:2" x14ac:dyDescent="0.25">
      <c r="A153" s="16"/>
      <c r="B153" s="105"/>
    </row>
    <row r="154" spans="1:2" x14ac:dyDescent="0.25">
      <c r="A154" s="16"/>
      <c r="B154" s="105"/>
    </row>
    <row r="155" spans="1:2" x14ac:dyDescent="0.25">
      <c r="A155" s="16"/>
      <c r="B155" s="105"/>
    </row>
    <row r="156" spans="1:2" x14ac:dyDescent="0.25">
      <c r="A156" s="16"/>
      <c r="B156" s="105"/>
    </row>
    <row r="157" spans="1:2" x14ac:dyDescent="0.25">
      <c r="A157" s="16"/>
      <c r="B157" s="105"/>
    </row>
    <row r="158" spans="1:2" x14ac:dyDescent="0.25">
      <c r="A158" s="16"/>
      <c r="B158" s="105"/>
    </row>
    <row r="159" spans="1:2" x14ac:dyDescent="0.25">
      <c r="A159" s="16"/>
      <c r="B159" s="105"/>
    </row>
    <row r="160" spans="1:2" x14ac:dyDescent="0.25">
      <c r="A160" s="16"/>
      <c r="B160" s="105"/>
    </row>
    <row r="161" spans="1:2" x14ac:dyDescent="0.25">
      <c r="A161" s="16"/>
      <c r="B161" s="105"/>
    </row>
    <row r="162" spans="1:2" x14ac:dyDescent="0.25">
      <c r="A162" s="16"/>
      <c r="B162" s="105"/>
    </row>
    <row r="163" spans="1:2" x14ac:dyDescent="0.25">
      <c r="A163" s="16"/>
      <c r="B163" s="105"/>
    </row>
    <row r="164" spans="1:2" x14ac:dyDescent="0.25">
      <c r="A164" s="16"/>
      <c r="B164" s="105"/>
    </row>
    <row r="165" spans="1:2" x14ac:dyDescent="0.25">
      <c r="A165" s="16"/>
      <c r="B165" s="105"/>
    </row>
    <row r="166" spans="1:2" x14ac:dyDescent="0.25">
      <c r="A166" s="16"/>
      <c r="B166" s="105"/>
    </row>
    <row r="167" spans="1:2" x14ac:dyDescent="0.25">
      <c r="A167" s="16"/>
      <c r="B167" s="105"/>
    </row>
    <row r="168" spans="1:2" x14ac:dyDescent="0.25">
      <c r="A168" s="16"/>
      <c r="B168" s="105"/>
    </row>
    <row r="169" spans="1:2" x14ac:dyDescent="0.25">
      <c r="A169" s="16"/>
      <c r="B169" s="105"/>
    </row>
  </sheetData>
  <sheetProtection sheet="1" objects="1" scenarios="1" formatCells="0"/>
  <mergeCells count="16">
    <mergeCell ref="A1:E1"/>
    <mergeCell ref="A2:E2"/>
    <mergeCell ref="A3:E3"/>
    <mergeCell ref="A8:E8"/>
    <mergeCell ref="A9:E9"/>
    <mergeCell ref="A51:B51"/>
    <mergeCell ref="C51:E51"/>
    <mergeCell ref="A52:B52"/>
    <mergeCell ref="C52:E52"/>
    <mergeCell ref="A10:E10"/>
    <mergeCell ref="A11:E11"/>
    <mergeCell ref="A12:E12"/>
    <mergeCell ref="A46:E46"/>
    <mergeCell ref="A47:E47"/>
    <mergeCell ref="C48:G48"/>
    <mergeCell ref="C49:G49"/>
  </mergeCells>
  <pageMargins left="0.7" right="0.7" top="0.75" bottom="0.75" header="0.3" footer="0.3"/>
  <pageSetup scale="4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opLeftCell="A7" workbookViewId="0">
      <selection activeCell="D15" sqref="D15"/>
    </sheetView>
  </sheetViews>
  <sheetFormatPr baseColWidth="10" defaultRowHeight="15" x14ac:dyDescent="0.25"/>
  <cols>
    <col min="1" max="1" width="28.5703125" customWidth="1"/>
    <col min="2" max="2" width="12.140625" customWidth="1"/>
    <col min="3" max="3" width="15.140625" customWidth="1"/>
    <col min="4" max="4" width="11.85546875" customWidth="1"/>
    <col min="5" max="5" width="12.5703125" customWidth="1"/>
    <col min="6" max="6" width="16.85546875" bestFit="1" customWidth="1"/>
    <col min="7" max="7" width="15.85546875" customWidth="1"/>
    <col min="8" max="8" width="16.85546875" bestFit="1" customWidth="1"/>
    <col min="9" max="9" width="16.7109375" bestFit="1" customWidth="1"/>
    <col min="10" max="10" width="20.140625" bestFit="1" customWidth="1"/>
    <col min="11" max="11" width="16.85546875" bestFit="1" customWidth="1"/>
    <col min="12" max="12" width="13.85546875" bestFit="1" customWidth="1"/>
    <col min="13" max="14" width="15.42578125" bestFit="1" customWidth="1"/>
  </cols>
  <sheetData>
    <row r="1" spans="1:16" x14ac:dyDescent="0.25">
      <c r="A1" s="204" t="s">
        <v>198</v>
      </c>
      <c r="B1" s="204"/>
      <c r="C1" s="204"/>
      <c r="D1" s="204"/>
      <c r="E1" s="204"/>
      <c r="F1" s="204"/>
      <c r="G1" s="204"/>
    </row>
    <row r="2" spans="1:16" x14ac:dyDescent="0.25">
      <c r="A2" s="204" t="s">
        <v>199</v>
      </c>
      <c r="B2" s="204"/>
      <c r="C2" s="204"/>
      <c r="D2" s="204"/>
      <c r="E2" s="204"/>
      <c r="F2" s="204"/>
      <c r="G2" s="204"/>
    </row>
    <row r="3" spans="1:16" x14ac:dyDescent="0.25">
      <c r="A3" s="204" t="s">
        <v>200</v>
      </c>
      <c r="B3" s="204"/>
      <c r="C3" s="204"/>
      <c r="D3" s="204"/>
      <c r="E3" s="204"/>
      <c r="F3" s="204"/>
      <c r="G3" s="204"/>
    </row>
    <row r="4" spans="1:16" x14ac:dyDescent="0.25">
      <c r="A4" s="205" t="s">
        <v>152</v>
      </c>
      <c r="B4" s="205"/>
      <c r="C4" s="205"/>
      <c r="D4" s="205"/>
      <c r="E4" s="205"/>
      <c r="F4" s="205"/>
      <c r="G4" s="205"/>
    </row>
    <row r="5" spans="1:16" x14ac:dyDescent="0.25">
      <c r="A5" s="204" t="s">
        <v>201</v>
      </c>
      <c r="B5" s="204"/>
      <c r="C5" s="204"/>
      <c r="D5" s="204"/>
      <c r="E5" s="204"/>
      <c r="F5" s="204"/>
      <c r="G5" s="204"/>
    </row>
    <row r="6" spans="1:16" x14ac:dyDescent="0.25">
      <c r="A6" s="204" t="s">
        <v>285</v>
      </c>
      <c r="B6" s="204"/>
      <c r="C6" s="204"/>
      <c r="D6" s="204"/>
      <c r="E6" s="204"/>
      <c r="F6" s="204"/>
      <c r="G6" s="204"/>
    </row>
    <row r="7" spans="1:16" x14ac:dyDescent="0.25">
      <c r="A7" s="204" t="s">
        <v>153</v>
      </c>
      <c r="B7" s="204"/>
      <c r="C7" s="204"/>
      <c r="D7" s="204"/>
      <c r="E7" s="204"/>
      <c r="F7" s="204"/>
      <c r="G7" s="204"/>
      <c r="K7" s="83">
        <f>'BALANCE GENERAL'!C26</f>
        <v>670600618.79999983</v>
      </c>
    </row>
    <row r="8" spans="1:16" x14ac:dyDescent="0.25">
      <c r="A8" s="207"/>
      <c r="B8" s="207"/>
      <c r="C8" s="207"/>
      <c r="D8" s="207"/>
      <c r="E8" s="207"/>
      <c r="F8" s="207"/>
      <c r="K8" s="83">
        <f>'BALANCE GENERAL'!C32</f>
        <v>59144519.964999996</v>
      </c>
    </row>
    <row r="9" spans="1:16" x14ac:dyDescent="0.25">
      <c r="K9" s="134">
        <f>K7-K8</f>
        <v>611456098.8349998</v>
      </c>
    </row>
    <row r="10" spans="1:16" x14ac:dyDescent="0.25">
      <c r="K10" s="83">
        <v>767975704.07000005</v>
      </c>
    </row>
    <row r="11" spans="1:16" x14ac:dyDescent="0.25">
      <c r="K11" s="134">
        <f>K9-K10</f>
        <v>-156519605.23500025</v>
      </c>
    </row>
    <row r="12" spans="1:16" s="4" customFormat="1" ht="45" x14ac:dyDescent="0.25">
      <c r="C12" s="4" t="s">
        <v>6</v>
      </c>
      <c r="D12" s="4" t="s">
        <v>206</v>
      </c>
      <c r="E12" s="4" t="s">
        <v>207</v>
      </c>
      <c r="F12" s="4" t="s">
        <v>7</v>
      </c>
      <c r="G12" s="4" t="s">
        <v>8</v>
      </c>
      <c r="I12" s="4" t="s">
        <v>251</v>
      </c>
      <c r="K12" s="4">
        <v>763200766.71000004</v>
      </c>
    </row>
    <row r="13" spans="1:16" x14ac:dyDescent="0.25">
      <c r="A13" s="19" t="s">
        <v>202</v>
      </c>
      <c r="C13" s="21">
        <v>534638142.77999997</v>
      </c>
      <c r="D13" s="21"/>
      <c r="E13" s="21"/>
      <c r="F13" s="21">
        <v>90998683.090000004</v>
      </c>
      <c r="G13" s="21">
        <f>SUM(C13:F13)</f>
        <v>625636825.87</v>
      </c>
      <c r="H13" s="18"/>
      <c r="I13" s="133" t="s">
        <v>295</v>
      </c>
      <c r="K13" s="21" t="s">
        <v>251</v>
      </c>
    </row>
    <row r="14" spans="1:16" x14ac:dyDescent="0.25">
      <c r="A14" t="s">
        <v>203</v>
      </c>
      <c r="C14" s="21"/>
      <c r="D14" s="21"/>
      <c r="E14" s="21"/>
      <c r="F14" s="21">
        <v>35685783.689999998</v>
      </c>
      <c r="G14" s="21">
        <f>SUM(C14:F14)</f>
        <v>35685783.689999998</v>
      </c>
      <c r="I14" s="21" t="s">
        <v>251</v>
      </c>
      <c r="J14" s="204" t="s">
        <v>251</v>
      </c>
      <c r="K14" s="204"/>
      <c r="L14" s="204"/>
      <c r="M14" s="204"/>
      <c r="N14" s="204"/>
      <c r="O14" s="204"/>
      <c r="P14" s="204"/>
    </row>
    <row r="15" spans="1:16" x14ac:dyDescent="0.25">
      <c r="A15" t="s">
        <v>204</v>
      </c>
      <c r="C15" s="21"/>
      <c r="D15" s="21"/>
      <c r="E15" s="21"/>
      <c r="F15" s="21">
        <v>71916803.780000001</v>
      </c>
      <c r="G15" s="21">
        <f>SUM(C15:F15)</f>
        <v>71916803.780000001</v>
      </c>
      <c r="I15" s="112" t="s">
        <v>251</v>
      </c>
      <c r="J15" t="s">
        <v>251</v>
      </c>
      <c r="K15" s="101" t="s">
        <v>251</v>
      </c>
    </row>
    <row r="16" spans="1:16" x14ac:dyDescent="0.25">
      <c r="A16" t="s">
        <v>10</v>
      </c>
      <c r="C16" s="69">
        <f>SUM(C13:C15)</f>
        <v>534638142.77999997</v>
      </c>
      <c r="D16" s="69"/>
      <c r="E16" s="69"/>
      <c r="F16" s="69">
        <f>SUM(F13:F15)</f>
        <v>198601270.56</v>
      </c>
      <c r="G16" s="69">
        <f>SUM(G13:G15)</f>
        <v>733239413.33999991</v>
      </c>
      <c r="I16" s="126" t="s">
        <v>293</v>
      </c>
      <c r="J16" s="127" t="s">
        <v>287</v>
      </c>
      <c r="K16" s="127" t="s">
        <v>288</v>
      </c>
      <c r="L16" s="128" t="s">
        <v>289</v>
      </c>
      <c r="M16" s="128" t="s">
        <v>290</v>
      </c>
      <c r="N16" s="128" t="s">
        <v>291</v>
      </c>
    </row>
    <row r="17" spans="1:14" x14ac:dyDescent="0.25">
      <c r="A17" t="s">
        <v>205</v>
      </c>
      <c r="C17" s="21"/>
      <c r="D17" s="21"/>
      <c r="E17" s="21"/>
      <c r="F17" s="21">
        <v>0</v>
      </c>
      <c r="G17" s="21">
        <f>SUM(C17:F17)</f>
        <v>0</v>
      </c>
      <c r="H17" s="21" t="s">
        <v>251</v>
      </c>
      <c r="I17" s="125" t="s">
        <v>261</v>
      </c>
      <c r="J17" s="123">
        <v>534638142.77999997</v>
      </c>
      <c r="K17" s="123">
        <v>534638142.77999997</v>
      </c>
      <c r="L17" s="123">
        <v>0</v>
      </c>
      <c r="M17" s="123">
        <v>0</v>
      </c>
      <c r="N17" s="123">
        <v>0</v>
      </c>
    </row>
    <row r="18" spans="1:14" x14ac:dyDescent="0.25">
      <c r="A18" t="s">
        <v>203</v>
      </c>
      <c r="C18" s="21"/>
      <c r="D18" s="21"/>
      <c r="E18" s="21"/>
      <c r="F18" s="72">
        <v>-156519605.24000001</v>
      </c>
      <c r="G18" s="21">
        <f>SUM(C18:F18)</f>
        <v>-156519605.24000001</v>
      </c>
      <c r="H18" s="21" t="s">
        <v>251</v>
      </c>
      <c r="I18" s="122" t="s">
        <v>263</v>
      </c>
      <c r="J18" s="123">
        <v>32441546.77</v>
      </c>
      <c r="K18" s="123">
        <f>126684466.78+71916903.78</f>
        <v>198601370.56</v>
      </c>
      <c r="L18" s="123">
        <v>0</v>
      </c>
      <c r="M18" s="129">
        <f>J18-K18</f>
        <v>-166159823.78999999</v>
      </c>
      <c r="N18" s="123">
        <f>M18</f>
        <v>-166159823.78999999</v>
      </c>
    </row>
    <row r="19" spans="1:14" x14ac:dyDescent="0.25">
      <c r="A19" t="s">
        <v>204</v>
      </c>
      <c r="C19" s="21"/>
      <c r="D19" s="21"/>
      <c r="E19" s="21"/>
      <c r="F19" s="21">
        <f>'ESTADO DE REND.'!D27</f>
        <v>34736290.732278347</v>
      </c>
      <c r="G19" s="21">
        <f>SUM(C19:F19)</f>
        <v>34736290.732278347</v>
      </c>
      <c r="H19" s="21" t="s">
        <v>251</v>
      </c>
      <c r="I19" s="122" t="s">
        <v>294</v>
      </c>
      <c r="J19" s="123">
        <f>F19</f>
        <v>34736290.732278347</v>
      </c>
      <c r="K19" s="123">
        <v>0</v>
      </c>
      <c r="L19" s="123">
        <f>J19-K19</f>
        <v>34736290.732278347</v>
      </c>
      <c r="M19" s="123">
        <v>0</v>
      </c>
      <c r="N19" s="124">
        <f>L19</f>
        <v>34736290.732278347</v>
      </c>
    </row>
    <row r="20" spans="1:14" ht="15.75" thickBot="1" x14ac:dyDescent="0.3">
      <c r="A20" s="19" t="s">
        <v>11</v>
      </c>
      <c r="C20" s="70">
        <f>SUM(C16:C19)</f>
        <v>534638142.77999997</v>
      </c>
      <c r="D20" s="70"/>
      <c r="E20" s="70"/>
      <c r="F20" s="70">
        <f>SUM(F16:F19)</f>
        <v>76817956.05227834</v>
      </c>
      <c r="G20" s="70">
        <f>SUM(G16:G19)</f>
        <v>611456098.83227825</v>
      </c>
      <c r="H20" s="70" t="s">
        <v>251</v>
      </c>
      <c r="I20" s="130" t="s">
        <v>292</v>
      </c>
      <c r="J20" s="131">
        <f>SUM(J17:J19)</f>
        <v>601815980.2822783</v>
      </c>
      <c r="K20" s="131">
        <f>SUM(K17:K19)</f>
        <v>733239513.33999991</v>
      </c>
      <c r="L20" s="132">
        <f>SUM(L17:L19)</f>
        <v>34736290.732278347</v>
      </c>
      <c r="M20" s="131">
        <f>SUM(M17:M19)</f>
        <v>-166159823.78999999</v>
      </c>
      <c r="N20" s="131">
        <f>SUM(N17:N19)</f>
        <v>-131423533.05772164</v>
      </c>
    </row>
    <row r="21" spans="1:14" ht="15.75" thickTop="1" x14ac:dyDescent="0.25">
      <c r="C21" s="21"/>
      <c r="D21" s="21"/>
      <c r="E21" s="21"/>
      <c r="F21" s="21"/>
      <c r="G21" s="21"/>
      <c r="H21" s="21" t="s">
        <v>251</v>
      </c>
      <c r="I21" s="18" t="s">
        <v>251</v>
      </c>
      <c r="K21" s="21" t="s">
        <v>251</v>
      </c>
    </row>
    <row r="22" spans="1:14" x14ac:dyDescent="0.25">
      <c r="C22" s="21" t="s">
        <v>251</v>
      </c>
      <c r="D22" s="21" t="s">
        <v>251</v>
      </c>
      <c r="E22" s="21" t="s">
        <v>251</v>
      </c>
      <c r="F22" s="21" t="s">
        <v>251</v>
      </c>
      <c r="G22" s="21" t="s">
        <v>251</v>
      </c>
      <c r="H22" s="21" t="s">
        <v>251</v>
      </c>
      <c r="I22" s="112" t="s">
        <v>251</v>
      </c>
      <c r="K22" s="21" t="s">
        <v>251</v>
      </c>
    </row>
    <row r="23" spans="1:14" x14ac:dyDescent="0.25">
      <c r="C23" s="21"/>
      <c r="D23" s="21"/>
      <c r="E23" s="21"/>
      <c r="F23" s="21">
        <v>-156519605.24000001</v>
      </c>
      <c r="G23" s="21" t="s">
        <v>251</v>
      </c>
      <c r="H23" s="21" t="s">
        <v>251</v>
      </c>
      <c r="I23" t="s">
        <v>251</v>
      </c>
      <c r="K23" s="21" t="s">
        <v>251</v>
      </c>
      <c r="L23" t="s">
        <v>251</v>
      </c>
    </row>
    <row r="24" spans="1:14" x14ac:dyDescent="0.25">
      <c r="C24" s="21"/>
      <c r="D24" s="21"/>
      <c r="E24" s="21"/>
      <c r="F24" s="21">
        <v>34736290.729999997</v>
      </c>
      <c r="G24" s="21" t="s">
        <v>251</v>
      </c>
      <c r="H24" s="21" t="s">
        <v>251</v>
      </c>
      <c r="I24" t="s">
        <v>251</v>
      </c>
      <c r="K24" s="21" t="s">
        <v>280</v>
      </c>
      <c r="L24" t="s">
        <v>251</v>
      </c>
    </row>
    <row r="25" spans="1:14" x14ac:dyDescent="0.25">
      <c r="C25" s="21"/>
      <c r="D25" s="21" t="s">
        <v>251</v>
      </c>
      <c r="E25" s="21"/>
      <c r="F25" s="21">
        <v>76817956.049999997</v>
      </c>
      <c r="G25" s="21" t="s">
        <v>251</v>
      </c>
      <c r="H25" s="21">
        <v>42081665.32</v>
      </c>
      <c r="I25" t="s">
        <v>251</v>
      </c>
      <c r="K25" s="21" t="s">
        <v>251</v>
      </c>
    </row>
    <row r="26" spans="1:14" x14ac:dyDescent="0.25">
      <c r="C26" s="21"/>
      <c r="D26" s="21"/>
      <c r="E26" s="21"/>
      <c r="F26" s="21">
        <f>F23+F24+F25</f>
        <v>-44965358.460000023</v>
      </c>
      <c r="G26" s="21" t="s">
        <v>251</v>
      </c>
      <c r="H26" s="21" t="s">
        <v>251</v>
      </c>
      <c r="I26" s="112" t="s">
        <v>251</v>
      </c>
      <c r="K26" s="21"/>
    </row>
    <row r="27" spans="1:14" x14ac:dyDescent="0.25">
      <c r="C27" s="21"/>
      <c r="D27" s="21"/>
      <c r="E27" s="21"/>
      <c r="F27" s="21" t="s">
        <v>251</v>
      </c>
      <c r="G27" s="21"/>
      <c r="H27" s="21"/>
      <c r="I27" t="s">
        <v>251</v>
      </c>
      <c r="L27" t="s">
        <v>251</v>
      </c>
    </row>
    <row r="28" spans="1:14" x14ac:dyDescent="0.25">
      <c r="E28" t="s">
        <v>251</v>
      </c>
      <c r="F28" s="21"/>
      <c r="G28" s="112"/>
      <c r="H28" s="21"/>
      <c r="I28" t="s">
        <v>251</v>
      </c>
    </row>
    <row r="29" spans="1:14" x14ac:dyDescent="0.25">
      <c r="A29" s="206"/>
      <c r="B29" s="206"/>
      <c r="C29" s="206"/>
      <c r="D29" s="206"/>
      <c r="E29" s="206"/>
      <c r="F29" s="206"/>
      <c r="G29" s="206"/>
      <c r="H29" s="21"/>
      <c r="I29" t="s">
        <v>251</v>
      </c>
    </row>
    <row r="30" spans="1:14" x14ac:dyDescent="0.25">
      <c r="A30" s="206"/>
      <c r="B30" s="206"/>
      <c r="C30" s="206"/>
      <c r="D30" s="206"/>
      <c r="E30" s="206"/>
      <c r="F30" s="206"/>
      <c r="G30" s="206"/>
      <c r="H30" s="21"/>
      <c r="I30" t="s">
        <v>251</v>
      </c>
    </row>
    <row r="31" spans="1:14" x14ac:dyDescent="0.25">
      <c r="H31" s="112"/>
      <c r="I31" t="s">
        <v>251</v>
      </c>
    </row>
    <row r="33" spans="1:8" x14ac:dyDescent="0.25">
      <c r="G33" s="18"/>
      <c r="H33" s="21"/>
    </row>
    <row r="34" spans="1:8" x14ac:dyDescent="0.25">
      <c r="A34" s="206"/>
      <c r="B34" s="206"/>
      <c r="C34" s="206"/>
      <c r="D34" s="206"/>
      <c r="E34" s="206"/>
      <c r="F34" s="206"/>
      <c r="G34" s="206"/>
    </row>
    <row r="35" spans="1:8" x14ac:dyDescent="0.25">
      <c r="A35" s="206"/>
      <c r="B35" s="206"/>
      <c r="C35" s="206"/>
      <c r="D35" s="206"/>
      <c r="E35" s="206"/>
      <c r="F35" s="206"/>
      <c r="G35" s="206"/>
    </row>
    <row r="38" spans="1:8" x14ac:dyDescent="0.25">
      <c r="B38" t="s">
        <v>251</v>
      </c>
    </row>
    <row r="78" spans="2:2" x14ac:dyDescent="0.25">
      <c r="B78" s="19" t="s">
        <v>318</v>
      </c>
    </row>
    <row r="79" spans="2:2" x14ac:dyDescent="0.25">
      <c r="B79" s="19" t="s">
        <v>319</v>
      </c>
    </row>
    <row r="80" spans="2:2" x14ac:dyDescent="0.25">
      <c r="B80" s="19" t="s">
        <v>320</v>
      </c>
    </row>
    <row r="83" spans="2:2" x14ac:dyDescent="0.25">
      <c r="B83" s="19" t="s">
        <v>321</v>
      </c>
    </row>
    <row r="85" spans="2:2" x14ac:dyDescent="0.25">
      <c r="B85" t="s">
        <v>323</v>
      </c>
    </row>
    <row r="86" spans="2:2" x14ac:dyDescent="0.25">
      <c r="B86" t="s">
        <v>324</v>
      </c>
    </row>
  </sheetData>
  <mergeCells count="15">
    <mergeCell ref="A34:C34"/>
    <mergeCell ref="A35:C35"/>
    <mergeCell ref="A29:G29"/>
    <mergeCell ref="A30:G30"/>
    <mergeCell ref="D34:G34"/>
    <mergeCell ref="D35:G35"/>
    <mergeCell ref="J14:P14"/>
    <mergeCell ref="A8:F8"/>
    <mergeCell ref="A1:G1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pageSetup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3"/>
  <sheetViews>
    <sheetView topLeftCell="A133" zoomScale="95" zoomScaleNormal="95" workbookViewId="0">
      <pane xSplit="1" topLeftCell="I1" activePane="topRight" state="frozen"/>
      <selection activeCell="B86" sqref="B86"/>
      <selection pane="topRight" activeCell="O134" sqref="O134"/>
    </sheetView>
  </sheetViews>
  <sheetFormatPr baseColWidth="10" defaultColWidth="11.42578125" defaultRowHeight="15" x14ac:dyDescent="0.25"/>
  <cols>
    <col min="1" max="1" width="35.140625" style="7" bestFit="1" customWidth="1"/>
    <col min="2" max="2" width="2.7109375" style="1" customWidth="1"/>
    <col min="3" max="3" width="16.28515625" style="3" bestFit="1" customWidth="1"/>
    <col min="4" max="4" width="12.42578125" style="1" customWidth="1"/>
    <col min="5" max="5" width="17.28515625" style="3" customWidth="1"/>
    <col min="6" max="6" width="16.140625" style="1" customWidth="1"/>
    <col min="7" max="7" width="15.5703125" style="3" bestFit="1" customWidth="1"/>
    <col min="8" max="8" width="16.28515625" style="3" bestFit="1" customWidth="1"/>
    <col min="9" max="13" width="15.5703125" style="3" bestFit="1" customWidth="1"/>
    <col min="14" max="18" width="15.5703125" style="3" customWidth="1"/>
    <col min="19" max="19" width="2.140625" style="56" bestFit="1" customWidth="1"/>
    <col min="20" max="22" width="2.140625" style="57" bestFit="1" customWidth="1"/>
    <col min="23" max="23" width="3.7109375" style="57" bestFit="1" customWidth="1"/>
    <col min="24" max="24" width="11.42578125" style="40"/>
    <col min="25" max="25" width="16.140625" style="40" bestFit="1" customWidth="1"/>
    <col min="26" max="36" width="11.42578125" style="40"/>
    <col min="37" max="16384" width="11.42578125" style="1"/>
  </cols>
  <sheetData>
    <row r="1" spans="1:36" x14ac:dyDescent="0.25">
      <c r="A1" s="37" t="s">
        <v>251</v>
      </c>
      <c r="B1" s="38"/>
      <c r="C1" s="39"/>
      <c r="D1" s="38"/>
      <c r="E1" s="39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36" s="6" customFormat="1" x14ac:dyDescent="0.25">
      <c r="A3" s="4" t="s">
        <v>12</v>
      </c>
      <c r="C3" s="5">
        <v>2020</v>
      </c>
      <c r="E3" s="5">
        <v>2019</v>
      </c>
      <c r="G3" s="42" t="s">
        <v>176</v>
      </c>
      <c r="H3" s="42" t="s">
        <v>177</v>
      </c>
      <c r="I3" s="42" t="s">
        <v>178</v>
      </c>
      <c r="J3" s="42" t="s">
        <v>179</v>
      </c>
      <c r="K3" s="42" t="s">
        <v>180</v>
      </c>
      <c r="L3" s="42" t="s">
        <v>181</v>
      </c>
      <c r="M3" s="42" t="s">
        <v>240</v>
      </c>
      <c r="N3" s="42" t="s">
        <v>241</v>
      </c>
      <c r="O3" s="42" t="s">
        <v>265</v>
      </c>
      <c r="P3" s="42" t="s">
        <v>266</v>
      </c>
      <c r="Q3" s="42" t="s">
        <v>267</v>
      </c>
      <c r="R3" s="42" t="s">
        <v>268</v>
      </c>
      <c r="S3" s="5"/>
      <c r="T3" s="58"/>
      <c r="U3" s="58"/>
      <c r="V3" s="58"/>
      <c r="W3" s="58"/>
      <c r="X3" s="41">
        <f>4375197.17+314770506.4</f>
        <v>319145703.56999999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x14ac:dyDescent="0.25">
      <c r="A4" s="7" t="s">
        <v>13</v>
      </c>
      <c r="C4" s="3">
        <f>+R4</f>
        <v>318747359.63</v>
      </c>
      <c r="D4" s="8"/>
      <c r="E4" s="3">
        <v>348678264.63</v>
      </c>
      <c r="G4" s="3">
        <v>365395737.91000003</v>
      </c>
      <c r="H4" s="3">
        <v>409757528.86000001</v>
      </c>
      <c r="I4" s="3">
        <v>337702375.19</v>
      </c>
      <c r="J4" s="3">
        <v>369278472.67000002</v>
      </c>
      <c r="K4" s="3">
        <v>336264570.95999998</v>
      </c>
      <c r="L4" s="3">
        <v>341724488</v>
      </c>
      <c r="M4" s="3">
        <v>339108457.93000001</v>
      </c>
      <c r="N4" s="3">
        <v>314770506.39999998</v>
      </c>
      <c r="O4" s="3">
        <v>308888880.85000002</v>
      </c>
      <c r="P4" s="3">
        <v>313880734.72000003</v>
      </c>
      <c r="Q4" s="3">
        <v>319942689.38</v>
      </c>
      <c r="R4" s="3">
        <v>318747359.63</v>
      </c>
    </row>
    <row r="5" spans="1:36" ht="30" x14ac:dyDescent="0.25">
      <c r="A5" s="7" t="s">
        <v>284</v>
      </c>
      <c r="C5" s="3">
        <f>+R5</f>
        <v>8632756.0600000005</v>
      </c>
      <c r="D5" s="8"/>
      <c r="E5" s="3">
        <v>17579893.48</v>
      </c>
      <c r="G5" s="3">
        <v>15881517.949999999</v>
      </c>
      <c r="H5" s="3">
        <v>15443857.970000001</v>
      </c>
      <c r="I5" s="3">
        <v>14017800.49</v>
      </c>
      <c r="J5" s="3">
        <v>12309317.359999999</v>
      </c>
      <c r="K5" s="3">
        <v>9304224.7599999998</v>
      </c>
      <c r="L5" s="3">
        <v>10926094.130000001</v>
      </c>
      <c r="M5" s="3">
        <v>9615652.5099999998</v>
      </c>
      <c r="N5" s="3">
        <v>8281768.1900000004</v>
      </c>
      <c r="O5" s="3">
        <v>8239375.9500000002</v>
      </c>
      <c r="P5" s="3">
        <v>7573006.5300000003</v>
      </c>
      <c r="Q5" s="3">
        <v>8147416.6600000001</v>
      </c>
      <c r="R5" s="3">
        <v>8632756.0600000005</v>
      </c>
    </row>
    <row r="6" spans="1:36" ht="30" x14ac:dyDescent="0.25">
      <c r="A6" s="7" t="s">
        <v>14</v>
      </c>
      <c r="C6" s="3">
        <f>R6</f>
        <v>10673229.33</v>
      </c>
      <c r="D6" s="8"/>
      <c r="E6" s="3">
        <v>5221758.6399999997</v>
      </c>
      <c r="G6" s="3">
        <v>5907133.2699999996</v>
      </c>
      <c r="H6" s="3">
        <v>8904467.8800000008</v>
      </c>
      <c r="I6" s="3">
        <v>8946495.5399999991</v>
      </c>
      <c r="J6" s="3">
        <v>9130580.9199999999</v>
      </c>
      <c r="K6" s="3">
        <v>9183966.1600000001</v>
      </c>
      <c r="L6" s="3">
        <v>9245436.4199999999</v>
      </c>
      <c r="M6" s="3">
        <v>9703325.0500000007</v>
      </c>
      <c r="N6" s="3">
        <v>9703150.0500000007</v>
      </c>
      <c r="O6" s="3">
        <v>9704019.0500000007</v>
      </c>
      <c r="P6" s="3">
        <v>10659827.18</v>
      </c>
      <c r="Q6" s="3">
        <v>10688674.18</v>
      </c>
      <c r="R6" s="3">
        <v>10673229.33</v>
      </c>
    </row>
    <row r="7" spans="1:36" x14ac:dyDescent="0.25">
      <c r="A7" s="7" t="s">
        <v>15</v>
      </c>
      <c r="C7" s="3">
        <f>+R7</f>
        <v>0</v>
      </c>
      <c r="D7" s="8"/>
      <c r="E7" s="3">
        <v>4000</v>
      </c>
      <c r="G7" s="3">
        <v>4000</v>
      </c>
      <c r="H7" s="3">
        <v>4000</v>
      </c>
      <c r="I7" s="3">
        <v>4000</v>
      </c>
      <c r="J7" s="3">
        <v>4000</v>
      </c>
      <c r="K7" s="3">
        <v>4000</v>
      </c>
      <c r="L7" s="3">
        <v>4000</v>
      </c>
      <c r="M7" s="3">
        <v>4000</v>
      </c>
      <c r="N7" s="3">
        <v>4000</v>
      </c>
      <c r="O7" s="3">
        <v>4000</v>
      </c>
      <c r="P7" s="3">
        <v>4000</v>
      </c>
      <c r="Q7" s="3">
        <v>4000</v>
      </c>
      <c r="R7" s="3">
        <v>0</v>
      </c>
    </row>
    <row r="8" spans="1:36" x14ac:dyDescent="0.25">
      <c r="A8" s="7" t="s">
        <v>16</v>
      </c>
      <c r="C8" s="3">
        <f>+R8</f>
        <v>10000</v>
      </c>
      <c r="D8" s="8"/>
      <c r="E8" s="3">
        <v>6000</v>
      </c>
      <c r="G8" s="3">
        <v>6000</v>
      </c>
      <c r="H8" s="3">
        <v>6000</v>
      </c>
      <c r="I8" s="3">
        <v>6000</v>
      </c>
      <c r="J8" s="3">
        <v>6000</v>
      </c>
      <c r="K8" s="3">
        <v>6000</v>
      </c>
      <c r="L8" s="3">
        <v>6000</v>
      </c>
      <c r="M8" s="3">
        <v>6000</v>
      </c>
      <c r="N8" s="3">
        <v>6000</v>
      </c>
      <c r="O8" s="3">
        <v>6000</v>
      </c>
      <c r="P8" s="3">
        <v>6000</v>
      </c>
      <c r="Q8" s="3">
        <v>6000</v>
      </c>
      <c r="R8" s="3">
        <v>10000</v>
      </c>
    </row>
    <row r="9" spans="1:36" ht="15.75" thickBot="1" x14ac:dyDescent="0.3">
      <c r="A9" s="2" t="s">
        <v>17</v>
      </c>
      <c r="B9" s="6"/>
      <c r="C9" s="9">
        <f>SUM(C4:C8)</f>
        <v>338063345.01999998</v>
      </c>
      <c r="D9" s="10"/>
      <c r="E9" s="9">
        <f>SUM(E4:E8)</f>
        <v>371489916.75</v>
      </c>
      <c r="G9" s="9">
        <f>SUM(G4:G8)</f>
        <v>387194389.13</v>
      </c>
      <c r="H9" s="9">
        <f t="shared" ref="H9:R9" si="0">SUM(H4:H8)</f>
        <v>434115854.71000004</v>
      </c>
      <c r="I9" s="9">
        <f t="shared" si="0"/>
        <v>360676671.22000003</v>
      </c>
      <c r="J9" s="9">
        <f t="shared" si="0"/>
        <v>390728370.95000005</v>
      </c>
      <c r="K9" s="9">
        <f t="shared" si="0"/>
        <v>354762761.88</v>
      </c>
      <c r="L9" s="9">
        <f t="shared" si="0"/>
        <v>361906018.55000001</v>
      </c>
      <c r="M9" s="9">
        <f t="shared" si="0"/>
        <v>358437435.49000001</v>
      </c>
      <c r="N9" s="9">
        <f t="shared" si="0"/>
        <v>332765424.63999999</v>
      </c>
      <c r="O9" s="9">
        <f t="shared" si="0"/>
        <v>326842275.85000002</v>
      </c>
      <c r="P9" s="9">
        <f t="shared" si="0"/>
        <v>332123568.43000001</v>
      </c>
      <c r="Q9" s="9">
        <f t="shared" si="0"/>
        <v>338788780.22000003</v>
      </c>
      <c r="R9" s="9">
        <f t="shared" si="0"/>
        <v>338063345.01999998</v>
      </c>
    </row>
    <row r="10" spans="1:36" ht="18.75" customHeight="1" thickTop="1" x14ac:dyDescent="0.25">
      <c r="C10" s="3">
        <f>+C9-E9</f>
        <v>-33426571.730000019</v>
      </c>
    </row>
    <row r="11" spans="1:36" ht="18" customHeight="1" x14ac:dyDescent="0.25">
      <c r="C11" s="59">
        <f>+C10/E9</f>
        <v>-8.9979755096542657E-2</v>
      </c>
    </row>
    <row r="12" spans="1:36" ht="14.25" customHeight="1" x14ac:dyDescent="0.25"/>
    <row r="13" spans="1:36" x14ac:dyDescent="0.25">
      <c r="A13" s="37" t="s">
        <v>18</v>
      </c>
      <c r="B13" s="38"/>
      <c r="C13" s="39"/>
      <c r="D13" s="38"/>
      <c r="E13" s="39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 t="s">
        <v>251</v>
      </c>
    </row>
    <row r="14" spans="1:36" x14ac:dyDescent="0.25">
      <c r="C14" s="3">
        <v>0</v>
      </c>
    </row>
    <row r="15" spans="1:36" x14ac:dyDescent="0.25">
      <c r="A15" s="4" t="s">
        <v>12</v>
      </c>
      <c r="C15" s="5">
        <v>2020</v>
      </c>
      <c r="D15" s="6"/>
      <c r="E15" s="5">
        <v>2019</v>
      </c>
      <c r="G15" s="42" t="s">
        <v>176</v>
      </c>
      <c r="H15" s="42" t="s">
        <v>177</v>
      </c>
      <c r="I15" s="42" t="s">
        <v>178</v>
      </c>
      <c r="J15" s="42" t="s">
        <v>179</v>
      </c>
      <c r="K15" s="42" t="s">
        <v>180</v>
      </c>
      <c r="L15" s="42" t="s">
        <v>181</v>
      </c>
      <c r="M15" s="42" t="s">
        <v>240</v>
      </c>
      <c r="N15" s="42" t="s">
        <v>241</v>
      </c>
      <c r="O15" s="42" t="s">
        <v>265</v>
      </c>
      <c r="P15" s="42" t="s">
        <v>266</v>
      </c>
      <c r="Q15" s="42" t="s">
        <v>267</v>
      </c>
      <c r="R15" s="42" t="s">
        <v>268</v>
      </c>
    </row>
    <row r="16" spans="1:36" x14ac:dyDescent="0.25">
      <c r="A16" s="7" t="s">
        <v>19</v>
      </c>
      <c r="C16" s="3">
        <f t="shared" ref="C16" si="1">+C49</f>
        <v>202401003.58000001</v>
      </c>
      <c r="D16" s="3"/>
      <c r="E16" s="3">
        <f>+E49</f>
        <v>254779157.40000004</v>
      </c>
      <c r="G16" s="3">
        <f>+G49</f>
        <v>288503979.57000005</v>
      </c>
      <c r="H16" s="3">
        <f t="shared" ref="H16:L16" si="2">+H49</f>
        <v>253050782.45999998</v>
      </c>
      <c r="I16" s="3">
        <f t="shared" si="2"/>
        <v>250327447.14999998</v>
      </c>
      <c r="J16" s="3">
        <f t="shared" si="2"/>
        <v>250327447.14999998</v>
      </c>
      <c r="K16" s="3">
        <f t="shared" si="2"/>
        <v>284006243.98000002</v>
      </c>
      <c r="L16" s="3">
        <f t="shared" si="2"/>
        <v>275380128.47999996</v>
      </c>
      <c r="M16" s="3">
        <f t="shared" ref="M16:N16" si="3">+M49</f>
        <v>162012184.87</v>
      </c>
      <c r="N16" s="3">
        <f t="shared" si="3"/>
        <v>187042380.83999997</v>
      </c>
      <c r="O16" s="3">
        <f t="shared" ref="O16:P16" si="4">+O49</f>
        <v>164078560.88000003</v>
      </c>
      <c r="P16" s="3">
        <f t="shared" si="4"/>
        <v>172883224.71999997</v>
      </c>
      <c r="Q16" s="3">
        <f t="shared" ref="Q16:R16" si="5">+Q49</f>
        <v>191516182.19600004</v>
      </c>
      <c r="R16" s="3">
        <f t="shared" si="5"/>
        <v>202401003.58000001</v>
      </c>
    </row>
    <row r="17" spans="1:36" x14ac:dyDescent="0.25">
      <c r="A17" s="7" t="s">
        <v>20</v>
      </c>
      <c r="C17" s="3">
        <f t="shared" ref="C17" si="6">+C62</f>
        <v>8349073.6500000004</v>
      </c>
      <c r="D17" s="3"/>
      <c r="E17" s="3">
        <f>+E62</f>
        <v>10028968.719999999</v>
      </c>
      <c r="G17" s="3">
        <f t="shared" ref="G17:L17" si="7">+G62</f>
        <v>9583304.879999999</v>
      </c>
      <c r="H17" s="3">
        <f t="shared" si="7"/>
        <v>9583304.879999999</v>
      </c>
      <c r="I17" s="3">
        <f t="shared" si="7"/>
        <v>7543704.7100000009</v>
      </c>
      <c r="J17" s="3">
        <f t="shared" si="7"/>
        <v>7543704.7100000009</v>
      </c>
      <c r="K17" s="3">
        <f t="shared" si="7"/>
        <v>7086006.7100000009</v>
      </c>
      <c r="L17" s="3">
        <f t="shared" si="7"/>
        <v>9378184.709999999</v>
      </c>
      <c r="M17" s="3">
        <f t="shared" ref="M17:N17" si="8">+M62</f>
        <v>8820591.6499999985</v>
      </c>
      <c r="N17" s="3">
        <f t="shared" si="8"/>
        <v>6733446.1300000008</v>
      </c>
      <c r="O17" s="3">
        <f t="shared" ref="O17:P17" si="9">+O62</f>
        <v>4736175.67</v>
      </c>
      <c r="P17" s="3">
        <f t="shared" si="9"/>
        <v>2520236.2599999998</v>
      </c>
      <c r="Q17" s="3">
        <f t="shared" ref="Q17:R17" si="10">+Q62</f>
        <v>8704723.1400000006</v>
      </c>
      <c r="R17" s="3">
        <f t="shared" si="10"/>
        <v>8349073.6500000004</v>
      </c>
    </row>
    <row r="18" spans="1:36" x14ac:dyDescent="0.25">
      <c r="A18" s="7" t="s">
        <v>21</v>
      </c>
      <c r="C18" s="8">
        <f>+Q18</f>
        <v>56421.09</v>
      </c>
      <c r="D18" s="8"/>
      <c r="E18" s="8">
        <v>8999758.7300000004</v>
      </c>
      <c r="G18" s="8">
        <v>9922234</v>
      </c>
      <c r="H18" s="8">
        <v>9922234</v>
      </c>
      <c r="I18" s="8">
        <v>9922234</v>
      </c>
      <c r="J18" s="8">
        <v>9922234</v>
      </c>
      <c r="K18" s="8">
        <v>8850255</v>
      </c>
      <c r="L18" s="8">
        <v>8850255</v>
      </c>
      <c r="M18" s="8">
        <v>8850255</v>
      </c>
      <c r="N18" s="8">
        <v>8850255</v>
      </c>
      <c r="O18" s="8">
        <v>8850255</v>
      </c>
      <c r="P18" s="8">
        <v>8000000</v>
      </c>
      <c r="Q18" s="8">
        <v>56421.09</v>
      </c>
      <c r="R18" s="8">
        <v>56421.09</v>
      </c>
    </row>
    <row r="19" spans="1:36" s="6" customFormat="1" ht="15.75" thickBot="1" x14ac:dyDescent="0.3">
      <c r="A19" s="2" t="s">
        <v>17</v>
      </c>
      <c r="C19" s="9">
        <f>SUM(C16:C18)</f>
        <v>210806498.32000002</v>
      </c>
      <c r="E19" s="9">
        <f>SUM(E16:E18)</f>
        <v>273807884.85000002</v>
      </c>
      <c r="G19" s="9">
        <f>SUM(G16:G18)</f>
        <v>308009518.45000005</v>
      </c>
      <c r="H19" s="9">
        <f t="shared" ref="H19:R19" si="11">SUM(H16:H18)</f>
        <v>272556321.33999997</v>
      </c>
      <c r="I19" s="9">
        <f t="shared" si="11"/>
        <v>267793385.85999998</v>
      </c>
      <c r="J19" s="9">
        <f t="shared" si="11"/>
        <v>267793385.85999998</v>
      </c>
      <c r="K19" s="9">
        <f t="shared" si="11"/>
        <v>299942505.69</v>
      </c>
      <c r="L19" s="9">
        <f t="shared" si="11"/>
        <v>293608568.18999994</v>
      </c>
      <c r="M19" s="9">
        <f t="shared" si="11"/>
        <v>179683031.52000001</v>
      </c>
      <c r="N19" s="9">
        <f t="shared" si="11"/>
        <v>202626081.96999997</v>
      </c>
      <c r="O19" s="9">
        <f t="shared" si="11"/>
        <v>177664991.55000001</v>
      </c>
      <c r="P19" s="9">
        <f t="shared" si="11"/>
        <v>183403460.97999996</v>
      </c>
      <c r="Q19" s="9">
        <f t="shared" si="11"/>
        <v>200277326.42600003</v>
      </c>
      <c r="R19" s="9">
        <f t="shared" si="11"/>
        <v>210806498.32000002</v>
      </c>
      <c r="S19" s="5"/>
      <c r="T19" s="58"/>
      <c r="U19" s="58"/>
      <c r="V19" s="58"/>
      <c r="W19" s="58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5.75" customHeight="1" thickTop="1" x14ac:dyDescent="0.25">
      <c r="C20" s="3">
        <f>+C19-E19</f>
        <v>-63001386.530000001</v>
      </c>
      <c r="N20" s="3">
        <f>213072143.68-N19</f>
        <v>10446061.710000038</v>
      </c>
    </row>
    <row r="21" spans="1:36" ht="15.75" customHeight="1" x14ac:dyDescent="0.25">
      <c r="C21" s="59">
        <f>+C20/E19</f>
        <v>-0.23009339765549119</v>
      </c>
    </row>
    <row r="22" spans="1:36" ht="15.75" customHeight="1" x14ac:dyDescent="0.25"/>
    <row r="23" spans="1:36" x14ac:dyDescent="0.25">
      <c r="A23" s="37" t="s">
        <v>22</v>
      </c>
      <c r="B23" s="38"/>
      <c r="C23" s="39"/>
      <c r="D23" s="38"/>
      <c r="E23" s="39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36" x14ac:dyDescent="0.25">
      <c r="A24" s="2"/>
    </row>
    <row r="25" spans="1:36" x14ac:dyDescent="0.25">
      <c r="A25" s="4" t="s">
        <v>12</v>
      </c>
      <c r="C25" s="5">
        <v>2020</v>
      </c>
      <c r="D25" s="6"/>
      <c r="E25" s="5">
        <v>2019</v>
      </c>
      <c r="G25" s="42" t="s">
        <v>176</v>
      </c>
      <c r="H25" s="42" t="s">
        <v>177</v>
      </c>
      <c r="I25" s="42" t="s">
        <v>178</v>
      </c>
      <c r="J25" s="42" t="s">
        <v>179</v>
      </c>
      <c r="K25" s="42" t="s">
        <v>180</v>
      </c>
      <c r="L25" s="42" t="s">
        <v>181</v>
      </c>
      <c r="M25" s="42" t="s">
        <v>240</v>
      </c>
      <c r="N25" s="42" t="s">
        <v>241</v>
      </c>
      <c r="O25" s="42" t="s">
        <v>265</v>
      </c>
      <c r="P25" s="42" t="s">
        <v>266</v>
      </c>
      <c r="Q25" s="42" t="s">
        <v>267</v>
      </c>
      <c r="R25" s="42" t="s">
        <v>268</v>
      </c>
    </row>
    <row r="26" spans="1:36" x14ac:dyDescent="0.25">
      <c r="A26" s="11" t="s">
        <v>23</v>
      </c>
      <c r="B26" s="11"/>
      <c r="C26" s="12">
        <f>+R26</f>
        <v>30454997.039999999</v>
      </c>
      <c r="D26" s="11"/>
      <c r="E26" s="8">
        <v>99979345.900000006</v>
      </c>
      <c r="G26" s="3">
        <v>81350789.859999999</v>
      </c>
      <c r="H26" s="3">
        <v>34573303.439999998</v>
      </c>
      <c r="I26" s="3">
        <v>34573303.439999998</v>
      </c>
      <c r="J26" s="3">
        <v>34573303.439999998</v>
      </c>
      <c r="K26" s="3">
        <v>10215968.9</v>
      </c>
      <c r="L26" s="3">
        <v>37704655.43</v>
      </c>
      <c r="M26" s="3">
        <v>14670108.470000001</v>
      </c>
      <c r="N26" s="3">
        <v>19991915.84</v>
      </c>
      <c r="O26" s="3">
        <v>17184511.719999999</v>
      </c>
      <c r="P26" s="3">
        <v>21856699.440000001</v>
      </c>
      <c r="Q26" s="3">
        <v>13304933.32</v>
      </c>
      <c r="R26" s="3">
        <v>30454997.039999999</v>
      </c>
    </row>
    <row r="27" spans="1:36" x14ac:dyDescent="0.25">
      <c r="A27" s="11" t="s">
        <v>182</v>
      </c>
      <c r="B27" s="11"/>
      <c r="C27" s="12">
        <f t="shared" ref="C27:C48" si="12">+R27</f>
        <v>17828505.039999999</v>
      </c>
      <c r="D27" s="11"/>
      <c r="E27" s="8">
        <v>35133471.68</v>
      </c>
      <c r="G27" s="3">
        <v>30331158.59</v>
      </c>
      <c r="H27" s="3">
        <v>40055268.600000001</v>
      </c>
      <c r="I27" s="3">
        <v>34392175.600000001</v>
      </c>
      <c r="J27" s="3">
        <v>34392175.600000001</v>
      </c>
      <c r="K27" s="3">
        <v>36188852.520000003</v>
      </c>
      <c r="L27" s="3">
        <v>37928883.170000002</v>
      </c>
      <c r="M27" s="3">
        <v>16360207.01</v>
      </c>
      <c r="N27" s="3">
        <v>18563512.280000001</v>
      </c>
      <c r="O27" s="3">
        <v>18563512.280000001</v>
      </c>
      <c r="P27" s="3">
        <v>16998939.34</v>
      </c>
      <c r="Q27" s="3">
        <v>24891855.23</v>
      </c>
      <c r="R27" s="3">
        <v>17828505.039999999</v>
      </c>
    </row>
    <row r="28" spans="1:36" x14ac:dyDescent="0.25">
      <c r="A28" s="11" t="s">
        <v>24</v>
      </c>
      <c r="B28" s="11"/>
      <c r="C28" s="12">
        <f t="shared" si="12"/>
        <v>0</v>
      </c>
      <c r="D28" s="11"/>
      <c r="E28" s="8">
        <v>24422377.629999999</v>
      </c>
      <c r="G28" s="3">
        <v>18074878.620000001</v>
      </c>
      <c r="H28" s="3">
        <v>18611828.34</v>
      </c>
      <c r="I28" s="3">
        <v>18611828.34</v>
      </c>
      <c r="J28" s="3">
        <v>18611828.34</v>
      </c>
      <c r="K28" s="3">
        <v>20636476.649999999</v>
      </c>
      <c r="L28" s="3">
        <v>20636476.649999999</v>
      </c>
      <c r="M28" s="3">
        <v>17250695.449999999</v>
      </c>
      <c r="N28" s="3">
        <v>7972222.8300000001</v>
      </c>
      <c r="O28" s="3">
        <v>7972222.8300000001</v>
      </c>
      <c r="P28" s="3">
        <v>7972222.8300000001</v>
      </c>
      <c r="Q28" s="3">
        <v>0</v>
      </c>
      <c r="R28" s="3">
        <v>0</v>
      </c>
    </row>
    <row r="29" spans="1:36" x14ac:dyDescent="0.25">
      <c r="A29" s="11" t="s">
        <v>25</v>
      </c>
      <c r="B29" s="11"/>
      <c r="C29" s="12">
        <f t="shared" si="12"/>
        <v>40069567.899999999</v>
      </c>
      <c r="D29" s="11"/>
      <c r="E29" s="8">
        <v>19645807.629999999</v>
      </c>
      <c r="G29" s="3">
        <v>42827377.649999999</v>
      </c>
      <c r="H29" s="36">
        <v>0</v>
      </c>
      <c r="I29" s="36">
        <v>0</v>
      </c>
      <c r="J29" s="36">
        <v>0</v>
      </c>
      <c r="K29" s="50">
        <v>43563505.939999998</v>
      </c>
      <c r="L29" s="3">
        <v>46064671.240000002</v>
      </c>
      <c r="M29" s="3">
        <v>21047102.109999999</v>
      </c>
      <c r="N29" s="3">
        <v>38371996.25</v>
      </c>
      <c r="O29" s="3">
        <v>20748942.719999999</v>
      </c>
      <c r="P29" s="3">
        <v>20963024.07</v>
      </c>
      <c r="Q29" s="3">
        <v>42781710.920000002</v>
      </c>
      <c r="R29" s="3">
        <v>40069567.899999999</v>
      </c>
    </row>
    <row r="30" spans="1:36" x14ac:dyDescent="0.25">
      <c r="A30" s="11" t="s">
        <v>26</v>
      </c>
      <c r="B30" s="11"/>
      <c r="C30" s="12">
        <f t="shared" si="12"/>
        <v>31680449.289999999</v>
      </c>
      <c r="D30" s="11"/>
      <c r="E30" s="8">
        <v>18446516.579999998</v>
      </c>
      <c r="G30" s="3">
        <v>29509935.129999999</v>
      </c>
      <c r="H30" s="3">
        <v>30164815.829999998</v>
      </c>
      <c r="I30" s="50">
        <v>31796172.93</v>
      </c>
      <c r="J30" s="50">
        <v>31796172.93</v>
      </c>
      <c r="K30" s="50">
        <v>32918756.739999998</v>
      </c>
      <c r="L30" s="50">
        <v>33653397</v>
      </c>
      <c r="M30" s="50">
        <v>23877333.32</v>
      </c>
      <c r="N30" s="50">
        <v>27269615.129999999</v>
      </c>
      <c r="O30" s="50">
        <v>27269615.129999999</v>
      </c>
      <c r="P30" s="50">
        <v>27269615.129999999</v>
      </c>
      <c r="Q30" s="50">
        <v>29693030</v>
      </c>
      <c r="R30" s="50">
        <v>31680449.289999999</v>
      </c>
    </row>
    <row r="31" spans="1:36" x14ac:dyDescent="0.25">
      <c r="A31" s="11" t="s">
        <v>27</v>
      </c>
      <c r="B31" s="11"/>
      <c r="C31" s="12">
        <f t="shared" si="12"/>
        <v>16154281.75</v>
      </c>
      <c r="D31" s="11"/>
      <c r="E31" s="8">
        <v>13861221.24</v>
      </c>
      <c r="G31" s="3">
        <v>20155323.059999999</v>
      </c>
      <c r="H31" s="3">
        <v>65526439.450000003</v>
      </c>
      <c r="I31" s="3">
        <v>63832740.039999999</v>
      </c>
      <c r="J31" s="3">
        <v>63832740.039999999</v>
      </c>
      <c r="K31" s="3">
        <v>65855925.289999999</v>
      </c>
      <c r="L31" s="3">
        <v>26391339.41</v>
      </c>
      <c r="M31" s="3">
        <v>13890058.33</v>
      </c>
      <c r="N31" s="3">
        <v>11987278.76</v>
      </c>
      <c r="O31" s="3">
        <v>11987278.76</v>
      </c>
      <c r="P31" s="3">
        <v>15284655.67</v>
      </c>
      <c r="Q31" s="3">
        <v>13405400.859999999</v>
      </c>
      <c r="R31" s="3">
        <v>16154281.75</v>
      </c>
    </row>
    <row r="32" spans="1:36" x14ac:dyDescent="0.25">
      <c r="A32" s="11" t="s">
        <v>28</v>
      </c>
      <c r="B32" s="11"/>
      <c r="C32" s="12">
        <f t="shared" si="12"/>
        <v>20793020.449999999</v>
      </c>
      <c r="D32" s="11"/>
      <c r="E32" s="8">
        <v>19784299.809999999</v>
      </c>
      <c r="G32" s="3">
        <v>21181452.899999999</v>
      </c>
      <c r="H32" s="3">
        <v>25093663.16</v>
      </c>
      <c r="I32" s="3">
        <v>25093663.16</v>
      </c>
      <c r="J32" s="3">
        <v>25093663.16</v>
      </c>
      <c r="K32" s="3">
        <v>25093663.16</v>
      </c>
      <c r="L32" s="3">
        <v>24012018.399999999</v>
      </c>
      <c r="M32" s="3">
        <v>14355500.199999999</v>
      </c>
      <c r="N32" s="3">
        <v>17918600.530000001</v>
      </c>
      <c r="O32" s="3">
        <v>17918600.530000001</v>
      </c>
      <c r="P32" s="3">
        <v>19216630.780000001</v>
      </c>
      <c r="Q32" s="3">
        <v>20410068.399999999</v>
      </c>
      <c r="R32" s="3">
        <v>20793020.449999999</v>
      </c>
    </row>
    <row r="33" spans="1:18" x14ac:dyDescent="0.25">
      <c r="A33" s="11" t="s">
        <v>29</v>
      </c>
      <c r="B33" s="11"/>
      <c r="C33" s="12">
        <f t="shared" si="12"/>
        <v>4845297.59</v>
      </c>
      <c r="D33" s="11"/>
      <c r="E33" s="8">
        <v>3257458.11</v>
      </c>
      <c r="G33" s="3">
        <v>4926202.9800000004</v>
      </c>
      <c r="H33" s="3">
        <v>4926202.9800000004</v>
      </c>
      <c r="I33" s="3">
        <v>4926202.9800000004</v>
      </c>
      <c r="J33" s="3">
        <v>4926202.9800000004</v>
      </c>
      <c r="K33" s="3">
        <v>5046384.34</v>
      </c>
      <c r="L33" s="3">
        <v>5046384.34</v>
      </c>
      <c r="M33" s="3">
        <v>4768165.9400000004</v>
      </c>
      <c r="N33" s="3">
        <v>4506184.4400000004</v>
      </c>
      <c r="O33" s="3">
        <v>4506184.4400000004</v>
      </c>
      <c r="P33" s="3">
        <v>4506184.4400000004</v>
      </c>
      <c r="Q33" s="3">
        <v>4830835.2699999996</v>
      </c>
      <c r="R33" s="3">
        <v>4845297.59</v>
      </c>
    </row>
    <row r="34" spans="1:18" x14ac:dyDescent="0.25">
      <c r="A34" s="11" t="s">
        <v>30</v>
      </c>
      <c r="B34" s="11"/>
      <c r="C34" s="12">
        <f t="shared" si="12"/>
        <v>2597708.59</v>
      </c>
      <c r="D34" s="11"/>
      <c r="E34" s="8">
        <v>4779931.37</v>
      </c>
      <c r="G34" s="3">
        <v>5628023.4900000002</v>
      </c>
      <c r="H34" s="3">
        <v>3942212.7</v>
      </c>
      <c r="I34" s="3">
        <v>6942212.7000000002</v>
      </c>
      <c r="J34" s="3">
        <v>6942212.7000000002</v>
      </c>
      <c r="K34" s="3">
        <v>6942212.7000000002</v>
      </c>
      <c r="L34" s="3">
        <v>6946854.4800000004</v>
      </c>
      <c r="M34" s="3">
        <v>6946854.4800000004</v>
      </c>
      <c r="N34" s="3">
        <v>7080522.6399999997</v>
      </c>
      <c r="O34" s="3">
        <v>2414705.2799999998</v>
      </c>
      <c r="P34" s="3">
        <v>2596004.08</v>
      </c>
      <c r="Q34" s="3">
        <v>2540651.14</v>
      </c>
      <c r="R34" s="3">
        <v>2597708.59</v>
      </c>
    </row>
    <row r="35" spans="1:18" x14ac:dyDescent="0.25">
      <c r="A35" s="11" t="s">
        <v>31</v>
      </c>
      <c r="B35" s="11"/>
      <c r="C35" s="12">
        <f t="shared" si="12"/>
        <v>7799582.2300000004</v>
      </c>
      <c r="D35" s="11"/>
      <c r="E35" s="8">
        <v>3727552.1</v>
      </c>
      <c r="G35" s="3">
        <v>9406983.9100000001</v>
      </c>
      <c r="H35" s="3">
        <v>4572140.37</v>
      </c>
      <c r="I35" s="3">
        <v>4572140.37</v>
      </c>
      <c r="J35" s="3">
        <v>4572140.37</v>
      </c>
      <c r="K35" s="3">
        <v>9536640.9199999999</v>
      </c>
      <c r="L35" s="3">
        <v>9536640.9199999999</v>
      </c>
      <c r="M35" s="3">
        <v>8455902.3000000007</v>
      </c>
      <c r="N35" s="3">
        <v>9212586.1400000006</v>
      </c>
      <c r="O35" s="3">
        <v>9025335.5800000001</v>
      </c>
      <c r="P35" s="3">
        <v>7490305.2000000002</v>
      </c>
      <c r="Q35" s="3">
        <v>7600070.29</v>
      </c>
      <c r="R35" s="3">
        <v>7799582.2300000004</v>
      </c>
    </row>
    <row r="36" spans="1:18" x14ac:dyDescent="0.25">
      <c r="A36" s="11" t="s">
        <v>32</v>
      </c>
      <c r="B36" s="11"/>
      <c r="C36" s="12">
        <f t="shared" si="12"/>
        <v>3860884.11</v>
      </c>
      <c r="D36" s="11"/>
      <c r="E36" s="8">
        <v>3860884.11</v>
      </c>
      <c r="G36" s="3">
        <v>3860884.11</v>
      </c>
      <c r="H36" s="3">
        <v>3860884.11</v>
      </c>
      <c r="I36" s="3">
        <v>3860884.11</v>
      </c>
      <c r="J36" s="3">
        <v>3860884.11</v>
      </c>
      <c r="K36" s="3">
        <v>3860884.11</v>
      </c>
      <c r="L36" s="3">
        <v>3860884.11</v>
      </c>
      <c r="M36" s="3">
        <v>3860884.11</v>
      </c>
      <c r="N36" s="3">
        <v>3860884.11</v>
      </c>
      <c r="O36" s="3">
        <v>3860884.11</v>
      </c>
      <c r="P36" s="3">
        <v>3860884.11</v>
      </c>
      <c r="Q36" s="3">
        <v>3860884.11</v>
      </c>
      <c r="R36" s="3">
        <v>3860884.11</v>
      </c>
    </row>
    <row r="37" spans="1:18" ht="18.75" customHeight="1" x14ac:dyDescent="0.25">
      <c r="A37" s="7" t="s">
        <v>33</v>
      </c>
      <c r="C37" s="12">
        <f t="shared" si="12"/>
        <v>2513722.36</v>
      </c>
      <c r="E37" s="3">
        <v>1188822.47</v>
      </c>
      <c r="G37" s="3">
        <v>1442543.23</v>
      </c>
      <c r="H37" s="3">
        <v>632899.48</v>
      </c>
      <c r="I37" s="3">
        <v>632899.48</v>
      </c>
      <c r="J37" s="3">
        <v>632899.48</v>
      </c>
      <c r="K37" s="3">
        <v>1585025.27</v>
      </c>
      <c r="L37" s="3">
        <v>990044.93</v>
      </c>
      <c r="M37" s="3">
        <v>990044.93</v>
      </c>
      <c r="N37" s="3">
        <v>1033423.34</v>
      </c>
      <c r="O37" s="3">
        <v>2461463.56</v>
      </c>
      <c r="P37" s="3">
        <v>2469235.7599999998</v>
      </c>
      <c r="Q37" s="3">
        <v>2505556.56</v>
      </c>
      <c r="R37" s="3">
        <v>2513722.36</v>
      </c>
    </row>
    <row r="38" spans="1:18" ht="18" customHeight="1" x14ac:dyDescent="0.25">
      <c r="A38" s="11" t="s">
        <v>34</v>
      </c>
      <c r="B38" s="11" t="s">
        <v>322</v>
      </c>
      <c r="C38" s="12">
        <f t="shared" si="12"/>
        <v>439777.64</v>
      </c>
      <c r="D38" s="11"/>
      <c r="E38" s="8">
        <v>458387.7</v>
      </c>
      <c r="G38" s="3">
        <v>104397.64</v>
      </c>
      <c r="H38" s="3">
        <v>104397.64</v>
      </c>
      <c r="I38" s="3">
        <v>106497.64</v>
      </c>
      <c r="J38" s="3">
        <v>106497.64</v>
      </c>
      <c r="K38" s="3">
        <v>184117.37</v>
      </c>
      <c r="L38" s="3">
        <v>554425.37</v>
      </c>
      <c r="M38" s="3">
        <v>470148.75</v>
      </c>
      <c r="N38" s="3">
        <v>104290.75</v>
      </c>
      <c r="O38" s="3">
        <v>104290.75</v>
      </c>
      <c r="P38" s="3">
        <v>322716.46000000002</v>
      </c>
      <c r="Q38" s="3">
        <v>370086.22</v>
      </c>
      <c r="R38" s="3">
        <v>439777.64</v>
      </c>
    </row>
    <row r="39" spans="1:18" x14ac:dyDescent="0.25">
      <c r="A39" s="7" t="s">
        <v>35</v>
      </c>
      <c r="C39" s="12">
        <f t="shared" si="12"/>
        <v>842562.79</v>
      </c>
      <c r="E39" s="3">
        <v>1662857.5</v>
      </c>
      <c r="G39" s="3">
        <v>1447448.86</v>
      </c>
      <c r="H39" s="3">
        <v>1737445.97</v>
      </c>
      <c r="I39" s="3">
        <v>1737445.97</v>
      </c>
      <c r="J39" s="3">
        <v>1737445.97</v>
      </c>
      <c r="K39" s="3">
        <v>1737445.97</v>
      </c>
      <c r="L39" s="3">
        <v>1056001.46</v>
      </c>
      <c r="M39" s="3">
        <v>1061552.18</v>
      </c>
      <c r="N39" s="3">
        <v>880410.93</v>
      </c>
      <c r="O39" s="3">
        <v>880410.93</v>
      </c>
      <c r="P39" s="3">
        <v>880410.93</v>
      </c>
      <c r="Q39" s="3">
        <v>936483.00600000005</v>
      </c>
      <c r="R39" s="3">
        <v>842562.79</v>
      </c>
    </row>
    <row r="40" spans="1:18" x14ac:dyDescent="0.25">
      <c r="A40" s="7" t="s">
        <v>36</v>
      </c>
      <c r="C40" s="12">
        <f t="shared" si="12"/>
        <v>1038642.24</v>
      </c>
      <c r="E40" s="3">
        <v>916214.45</v>
      </c>
      <c r="G40" s="3">
        <v>3985289.85</v>
      </c>
      <c r="H40" s="3">
        <v>3985289.85</v>
      </c>
      <c r="I40" s="3">
        <v>3985289.85</v>
      </c>
      <c r="J40" s="3">
        <v>3985289.85</v>
      </c>
      <c r="K40" s="3">
        <v>4477671.91</v>
      </c>
      <c r="L40" s="3">
        <v>4502871.91</v>
      </c>
      <c r="M40" s="3">
        <v>25200</v>
      </c>
      <c r="N40" s="3">
        <v>1817721.26</v>
      </c>
      <c r="O40" s="3">
        <v>2825739.6</v>
      </c>
      <c r="P40" s="3">
        <v>2832539.6</v>
      </c>
      <c r="Q40" s="3">
        <v>3128435.68</v>
      </c>
      <c r="R40" s="3">
        <v>1038642.24</v>
      </c>
    </row>
    <row r="41" spans="1:18" x14ac:dyDescent="0.25">
      <c r="A41" s="11" t="s">
        <v>37</v>
      </c>
      <c r="B41" s="11"/>
      <c r="C41" s="12">
        <f t="shared" si="12"/>
        <v>1718212.9</v>
      </c>
      <c r="D41" s="11"/>
      <c r="E41" s="8">
        <v>78012.429999999993</v>
      </c>
      <c r="G41" s="3">
        <v>300568.15000000002</v>
      </c>
      <c r="H41" s="3">
        <v>300568.15000000002</v>
      </c>
      <c r="I41" s="3">
        <v>300568.15000000002</v>
      </c>
      <c r="J41" s="3">
        <v>300568.15000000002</v>
      </c>
      <c r="K41" s="3">
        <v>183430.47</v>
      </c>
      <c r="L41" s="3">
        <v>183430.47</v>
      </c>
      <c r="M41" s="3">
        <v>183430.47</v>
      </c>
      <c r="N41" s="3">
        <v>293098.73</v>
      </c>
      <c r="O41" s="3">
        <v>293098.73</v>
      </c>
      <c r="P41" s="3">
        <v>293098.73</v>
      </c>
      <c r="Q41" s="3">
        <v>1626081.86</v>
      </c>
      <c r="R41" s="3">
        <v>1718212.9</v>
      </c>
    </row>
    <row r="42" spans="1:18" x14ac:dyDescent="0.25">
      <c r="A42" s="11" t="s">
        <v>38</v>
      </c>
      <c r="B42" s="11"/>
      <c r="C42" s="12">
        <f t="shared" si="12"/>
        <v>5089402.54</v>
      </c>
      <c r="D42" s="11"/>
      <c r="E42" s="8">
        <v>383628.16</v>
      </c>
      <c r="G42" s="3">
        <v>1059779.95</v>
      </c>
      <c r="H42" s="3">
        <v>1153138.3999999999</v>
      </c>
      <c r="I42" s="3">
        <v>1153138.3999999999</v>
      </c>
      <c r="J42" s="3">
        <v>1153138.3999999999</v>
      </c>
      <c r="K42" s="3">
        <v>1257040.22</v>
      </c>
      <c r="L42" s="3">
        <v>1346631.1</v>
      </c>
      <c r="M42" s="3">
        <v>1346631.1</v>
      </c>
      <c r="N42" s="3">
        <v>3087463.44</v>
      </c>
      <c r="O42" s="3">
        <v>3116461.08</v>
      </c>
      <c r="P42" s="3">
        <v>4981001.9800000004</v>
      </c>
      <c r="Q42" s="3">
        <v>4994868.4800000004</v>
      </c>
      <c r="R42" s="3">
        <v>5089402.54</v>
      </c>
    </row>
    <row r="43" spans="1:18" x14ac:dyDescent="0.25">
      <c r="A43" s="11" t="s">
        <v>39</v>
      </c>
      <c r="B43" s="11"/>
      <c r="C43" s="12">
        <f t="shared" si="12"/>
        <v>6116474.2699999996</v>
      </c>
      <c r="D43" s="11"/>
      <c r="E43" s="8">
        <v>1349103.73</v>
      </c>
      <c r="G43" s="3">
        <v>4011272.72</v>
      </c>
      <c r="H43" s="3">
        <v>4011272.72</v>
      </c>
      <c r="I43" s="3">
        <v>4011272.72</v>
      </c>
      <c r="J43" s="3">
        <v>4011272.72</v>
      </c>
      <c r="K43" s="50">
        <v>4404784.9800000004</v>
      </c>
      <c r="L43" s="50">
        <v>4404784.9800000004</v>
      </c>
      <c r="M43" s="50">
        <v>4404784.9800000004</v>
      </c>
      <c r="N43" s="50">
        <v>4856624.76</v>
      </c>
      <c r="O43" s="50">
        <v>4856624.76</v>
      </c>
      <c r="P43" s="50">
        <v>5007437.04</v>
      </c>
      <c r="Q43" s="50">
        <v>6095714.2699999996</v>
      </c>
      <c r="R43" s="50">
        <v>6116474.2699999996</v>
      </c>
    </row>
    <row r="44" spans="1:18" x14ac:dyDescent="0.25">
      <c r="A44" s="11" t="s">
        <v>40</v>
      </c>
      <c r="B44" s="11"/>
      <c r="C44" s="12">
        <f t="shared" si="12"/>
        <v>288446.02</v>
      </c>
      <c r="D44" s="11"/>
      <c r="E44" s="8">
        <v>172948.26</v>
      </c>
      <c r="G44" s="3">
        <v>1165546.3400000001</v>
      </c>
      <c r="H44" s="3">
        <v>1213960.1599999999</v>
      </c>
      <c r="I44" s="3">
        <v>1213960.1599999999</v>
      </c>
      <c r="J44" s="3">
        <v>1213960.1599999999</v>
      </c>
      <c r="K44" s="3">
        <v>1213960.1599999999</v>
      </c>
      <c r="L44" s="3">
        <v>1213960.1599999999</v>
      </c>
      <c r="M44" s="3">
        <v>218048.13</v>
      </c>
      <c r="N44" s="3">
        <v>218848.13</v>
      </c>
      <c r="O44" s="3">
        <v>218848.13</v>
      </c>
      <c r="P44" s="3">
        <v>218848.13</v>
      </c>
      <c r="Q44" s="3">
        <v>218848.13</v>
      </c>
      <c r="R44" s="3">
        <v>288446.02</v>
      </c>
    </row>
    <row r="45" spans="1:18" x14ac:dyDescent="0.25">
      <c r="A45" s="11" t="s">
        <v>41</v>
      </c>
      <c r="B45" s="11"/>
      <c r="C45" s="12">
        <f t="shared" si="12"/>
        <v>0</v>
      </c>
      <c r="D45" s="11"/>
      <c r="E45" s="8">
        <v>154777</v>
      </c>
      <c r="G45" s="3">
        <v>154777</v>
      </c>
      <c r="H45" s="3">
        <v>154777</v>
      </c>
      <c r="I45" s="3">
        <v>154777</v>
      </c>
      <c r="J45" s="3">
        <v>154777</v>
      </c>
      <c r="K45" s="3">
        <v>154777</v>
      </c>
      <c r="L45" s="3">
        <v>154777</v>
      </c>
      <c r="M45" s="3">
        <v>154777</v>
      </c>
      <c r="N45" s="3">
        <v>154777</v>
      </c>
      <c r="O45" s="3">
        <v>0</v>
      </c>
      <c r="P45" s="3">
        <v>0</v>
      </c>
    </row>
    <row r="46" spans="1:18" x14ac:dyDescent="0.25">
      <c r="A46" s="11" t="s">
        <v>42</v>
      </c>
      <c r="B46" s="11"/>
      <c r="C46" s="12">
        <f t="shared" si="12"/>
        <v>5345597.12</v>
      </c>
      <c r="D46" s="11"/>
      <c r="E46" s="8">
        <v>417210.34</v>
      </c>
      <c r="G46" s="3">
        <v>5876426.0499999998</v>
      </c>
      <c r="H46" s="3">
        <v>6466380.3300000001</v>
      </c>
      <c r="I46" s="3">
        <v>6466380.3300000001</v>
      </c>
      <c r="J46" s="3">
        <v>6466380.3300000001</v>
      </c>
      <c r="K46" s="3">
        <v>6466380.3300000001</v>
      </c>
      <c r="L46" s="3">
        <v>6600361.7400000002</v>
      </c>
      <c r="M46" s="3">
        <v>5084121.4000000004</v>
      </c>
      <c r="N46" s="3">
        <v>5269769.34</v>
      </c>
      <c r="O46" s="3">
        <v>5269769.34</v>
      </c>
      <c r="P46" s="3">
        <v>5262710.38</v>
      </c>
      <c r="Q46" s="3">
        <v>5342445.71</v>
      </c>
      <c r="R46" s="3">
        <v>5345597.12</v>
      </c>
    </row>
    <row r="47" spans="1:18" x14ac:dyDescent="0.25">
      <c r="A47" s="11" t="s">
        <v>43</v>
      </c>
      <c r="B47" s="11"/>
      <c r="C47" s="12">
        <f t="shared" si="12"/>
        <v>2923871.71</v>
      </c>
      <c r="D47" s="11"/>
      <c r="E47" s="8">
        <v>998948.43</v>
      </c>
      <c r="G47" s="3">
        <v>1702919.48</v>
      </c>
      <c r="H47" s="3">
        <v>1963893.78</v>
      </c>
      <c r="I47" s="3">
        <v>1963893.78</v>
      </c>
      <c r="J47" s="3">
        <v>1963893.78</v>
      </c>
      <c r="K47" s="50">
        <v>2482339.0299999998</v>
      </c>
      <c r="L47" s="50">
        <v>2590634.21</v>
      </c>
      <c r="M47" s="50">
        <v>2590634.21</v>
      </c>
      <c r="N47" s="50">
        <v>2590634.21</v>
      </c>
      <c r="O47" s="50">
        <v>2600060.62</v>
      </c>
      <c r="P47" s="50">
        <v>2600060.62</v>
      </c>
      <c r="Q47" s="50">
        <v>2858372.97</v>
      </c>
      <c r="R47" s="50">
        <v>2923871.71</v>
      </c>
    </row>
    <row r="48" spans="1:18" x14ac:dyDescent="0.25">
      <c r="A48" s="11" t="s">
        <v>278</v>
      </c>
      <c r="B48" s="11"/>
      <c r="C48" s="12">
        <f t="shared" si="12"/>
        <v>0</v>
      </c>
      <c r="D48" s="11"/>
      <c r="E48" s="8">
        <v>99380.77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119849.77</v>
      </c>
      <c r="R48" s="50">
        <v>0</v>
      </c>
    </row>
    <row r="49" spans="1:25" ht="15.75" thickBot="1" x14ac:dyDescent="0.3">
      <c r="A49" s="2" t="s">
        <v>44</v>
      </c>
      <c r="B49" s="6"/>
      <c r="C49" s="9">
        <f>SUM(C26:C48)</f>
        <v>202401003.58000001</v>
      </c>
      <c r="D49" s="6"/>
      <c r="E49" s="9">
        <f>SUM(E26:E48)</f>
        <v>254779157.40000004</v>
      </c>
      <c r="G49" s="9">
        <f>SUM(G26:G48)</f>
        <v>288503979.57000005</v>
      </c>
      <c r="H49" s="9">
        <f t="shared" ref="H49:R49" si="13">SUM(H26:H48)</f>
        <v>253050782.45999998</v>
      </c>
      <c r="I49" s="9">
        <f t="shared" si="13"/>
        <v>250327447.14999998</v>
      </c>
      <c r="J49" s="9">
        <f t="shared" si="13"/>
        <v>250327447.14999998</v>
      </c>
      <c r="K49" s="9">
        <f t="shared" si="13"/>
        <v>284006243.98000002</v>
      </c>
      <c r="L49" s="9">
        <f t="shared" si="13"/>
        <v>275380128.47999996</v>
      </c>
      <c r="M49" s="9">
        <f t="shared" si="13"/>
        <v>162012184.87</v>
      </c>
      <c r="N49" s="9">
        <f t="shared" si="13"/>
        <v>187042380.83999997</v>
      </c>
      <c r="O49" s="9">
        <f t="shared" si="13"/>
        <v>164078560.88000003</v>
      </c>
      <c r="P49" s="9">
        <f t="shared" si="13"/>
        <v>172883224.71999997</v>
      </c>
      <c r="Q49" s="9">
        <f t="shared" si="13"/>
        <v>191516182.19600004</v>
      </c>
      <c r="R49" s="9">
        <f t="shared" si="13"/>
        <v>202401003.58000001</v>
      </c>
    </row>
    <row r="50" spans="1:25" ht="18" customHeight="1" thickTop="1" x14ac:dyDescent="0.25">
      <c r="C50" s="3">
        <f>+C49-E49</f>
        <v>-52378153.820000023</v>
      </c>
    </row>
    <row r="51" spans="1:25" ht="12.75" customHeight="1" x14ac:dyDescent="0.25">
      <c r="C51" s="59">
        <f>+C50/E49</f>
        <v>-0.20558256944765299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7"/>
    </row>
    <row r="52" spans="1:25" x14ac:dyDescent="0.25">
      <c r="A52" s="37" t="s">
        <v>45</v>
      </c>
      <c r="B52" s="38"/>
      <c r="C52" s="39"/>
      <c r="D52" s="38"/>
      <c r="E52" s="39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 t="s">
        <v>251</v>
      </c>
      <c r="Q52" s="39" t="s">
        <v>251</v>
      </c>
      <c r="R52" s="39"/>
    </row>
    <row r="53" spans="1:25" x14ac:dyDescent="0.25">
      <c r="A53" s="2"/>
      <c r="P53" s="3" t="s">
        <v>251</v>
      </c>
      <c r="Q53" s="3" t="s">
        <v>251</v>
      </c>
    </row>
    <row r="54" spans="1:25" x14ac:dyDescent="0.25">
      <c r="A54" s="4" t="s">
        <v>12</v>
      </c>
      <c r="C54" s="5">
        <v>2020</v>
      </c>
      <c r="D54" s="6"/>
      <c r="E54" s="5">
        <v>2019</v>
      </c>
      <c r="G54" s="42" t="s">
        <v>176</v>
      </c>
      <c r="H54" s="42" t="s">
        <v>177</v>
      </c>
      <c r="I54" s="42" t="s">
        <v>178</v>
      </c>
      <c r="J54" s="42" t="s">
        <v>179</v>
      </c>
      <c r="K54" s="42" t="s">
        <v>180</v>
      </c>
      <c r="L54" s="42" t="s">
        <v>181</v>
      </c>
      <c r="M54" s="42" t="s">
        <v>240</v>
      </c>
      <c r="N54" s="42" t="s">
        <v>241</v>
      </c>
      <c r="O54" s="42" t="s">
        <v>265</v>
      </c>
      <c r="P54" s="42" t="s">
        <v>266</v>
      </c>
      <c r="Q54" s="42" t="s">
        <v>267</v>
      </c>
      <c r="R54" s="42" t="s">
        <v>268</v>
      </c>
    </row>
    <row r="55" spans="1:25" x14ac:dyDescent="0.25">
      <c r="A55" s="11" t="s">
        <v>46</v>
      </c>
      <c r="C55" s="3">
        <f>+R55</f>
        <v>2826717.52</v>
      </c>
      <c r="E55" s="3">
        <v>3125639.61</v>
      </c>
      <c r="G55" s="3">
        <v>3811784.71</v>
      </c>
      <c r="H55" s="3">
        <v>3811784.71</v>
      </c>
      <c r="I55" s="3">
        <v>3811784.71</v>
      </c>
      <c r="J55" s="3">
        <v>3811784.71</v>
      </c>
      <c r="K55" s="3">
        <v>3811784.71</v>
      </c>
      <c r="L55" s="3">
        <v>3851843.67</v>
      </c>
      <c r="M55" s="3">
        <v>3294250.61</v>
      </c>
      <c r="N55" s="3">
        <v>3294250.61</v>
      </c>
      <c r="O55" s="3">
        <v>2520236.2599999998</v>
      </c>
      <c r="P55" s="3">
        <v>2520236.2599999998</v>
      </c>
      <c r="Q55" s="3">
        <v>3182367.01</v>
      </c>
      <c r="R55" s="3">
        <v>2826717.52</v>
      </c>
    </row>
    <row r="56" spans="1:25" x14ac:dyDescent="0.25">
      <c r="A56" s="11" t="s">
        <v>47</v>
      </c>
      <c r="B56" s="11"/>
      <c r="C56" s="3">
        <f t="shared" ref="C56:C61" si="14">+R56</f>
        <v>399008.37</v>
      </c>
      <c r="D56" s="11"/>
      <c r="E56" s="8">
        <v>3769936</v>
      </c>
      <c r="G56" s="3">
        <v>731118</v>
      </c>
      <c r="H56" s="3">
        <v>731118</v>
      </c>
      <c r="I56" s="3">
        <v>731118</v>
      </c>
      <c r="J56" s="3">
        <v>731118</v>
      </c>
      <c r="K56" s="3">
        <v>308920</v>
      </c>
      <c r="L56" s="3">
        <v>308920</v>
      </c>
      <c r="M56" s="3">
        <v>308920</v>
      </c>
      <c r="N56" s="3">
        <v>669793.52</v>
      </c>
      <c r="O56" s="3">
        <v>669793.52</v>
      </c>
      <c r="P56" s="3">
        <v>0</v>
      </c>
      <c r="Q56" s="3">
        <v>399008.37</v>
      </c>
      <c r="R56" s="3">
        <v>399008.37</v>
      </c>
    </row>
    <row r="57" spans="1:25" x14ac:dyDescent="0.25">
      <c r="A57" s="11" t="s">
        <v>48</v>
      </c>
      <c r="B57" s="11"/>
      <c r="C57" s="3">
        <f t="shared" si="14"/>
        <v>0</v>
      </c>
      <c r="D57" s="11"/>
      <c r="E57" s="8">
        <v>1501712</v>
      </c>
      <c r="G57" s="3">
        <v>2607241.61</v>
      </c>
      <c r="H57" s="3">
        <v>2607241.61</v>
      </c>
      <c r="I57" s="3">
        <v>1507241.61</v>
      </c>
      <c r="J57" s="3">
        <v>1507241.61</v>
      </c>
      <c r="K57" s="3">
        <v>1507241.61</v>
      </c>
      <c r="L57" s="3">
        <v>1507241.61</v>
      </c>
      <c r="M57" s="3">
        <v>1507241.61</v>
      </c>
      <c r="N57" s="3">
        <v>1507241.61</v>
      </c>
      <c r="O57" s="3">
        <v>1507241.61</v>
      </c>
      <c r="P57" s="3">
        <v>0</v>
      </c>
      <c r="Q57" s="3">
        <v>0</v>
      </c>
    </row>
    <row r="58" spans="1:25" x14ac:dyDescent="0.25">
      <c r="A58" s="11" t="s">
        <v>49</v>
      </c>
      <c r="B58" s="11"/>
      <c r="C58" s="3">
        <f t="shared" si="14"/>
        <v>0</v>
      </c>
      <c r="D58" s="11"/>
      <c r="E58" s="8">
        <v>700025</v>
      </c>
      <c r="G58" s="3">
        <v>1521000.17</v>
      </c>
      <c r="H58" s="3">
        <v>1521000.17</v>
      </c>
      <c r="I58" s="3">
        <v>581400</v>
      </c>
      <c r="J58" s="3">
        <v>581400</v>
      </c>
      <c r="K58" s="3">
        <v>545900</v>
      </c>
      <c r="L58" s="3">
        <v>2798019.04</v>
      </c>
      <c r="M58" s="3">
        <v>2798019.04</v>
      </c>
      <c r="N58" s="3">
        <v>350000</v>
      </c>
      <c r="O58" s="3">
        <v>0</v>
      </c>
      <c r="P58" s="3">
        <v>0</v>
      </c>
      <c r="Q58" s="3">
        <v>0</v>
      </c>
      <c r="Y58" s="3">
        <v>63370523.579999998</v>
      </c>
    </row>
    <row r="59" spans="1:25" x14ac:dyDescent="0.25">
      <c r="A59" s="11" t="s">
        <v>50</v>
      </c>
      <c r="B59" s="11"/>
      <c r="C59" s="3">
        <f t="shared" si="14"/>
        <v>0</v>
      </c>
      <c r="D59" s="11"/>
      <c r="E59" s="8">
        <v>873256.11</v>
      </c>
      <c r="G59" s="3">
        <v>873256.11</v>
      </c>
      <c r="H59" s="3">
        <v>873256.11</v>
      </c>
      <c r="I59" s="3">
        <v>873256.11</v>
      </c>
      <c r="J59" s="3">
        <v>873256.11</v>
      </c>
      <c r="K59" s="3">
        <v>873256.11</v>
      </c>
      <c r="L59" s="3">
        <v>873256.11</v>
      </c>
      <c r="M59" s="3">
        <v>873256.11</v>
      </c>
      <c r="N59" s="3">
        <v>873256.11</v>
      </c>
      <c r="O59" s="3">
        <v>0</v>
      </c>
      <c r="P59" s="3">
        <v>0</v>
      </c>
      <c r="Q59" s="3">
        <v>0</v>
      </c>
      <c r="Y59" s="3">
        <v>62225127.479999997</v>
      </c>
    </row>
    <row r="60" spans="1:25" x14ac:dyDescent="0.25">
      <c r="A60" s="11" t="s">
        <v>282</v>
      </c>
      <c r="B60" s="11"/>
      <c r="C60" s="3">
        <f t="shared" si="14"/>
        <v>5123347.76</v>
      </c>
      <c r="D60" s="11"/>
      <c r="E60" s="8"/>
      <c r="Q60" s="3">
        <v>5123347.76</v>
      </c>
      <c r="R60" s="3">
        <v>5123347.76</v>
      </c>
      <c r="Y60" s="3"/>
    </row>
    <row r="61" spans="1:25" x14ac:dyDescent="0.25">
      <c r="A61" s="11" t="s">
        <v>51</v>
      </c>
      <c r="B61" s="11"/>
      <c r="C61" s="3">
        <f t="shared" si="14"/>
        <v>0</v>
      </c>
      <c r="D61" s="11"/>
      <c r="E61" s="8">
        <v>58400</v>
      </c>
      <c r="G61" s="3">
        <v>38904.28</v>
      </c>
      <c r="H61" s="3">
        <v>38904.28</v>
      </c>
      <c r="I61" s="3">
        <v>38904.28</v>
      </c>
      <c r="J61" s="3">
        <v>38904.28</v>
      </c>
      <c r="K61" s="3">
        <v>38904.28</v>
      </c>
      <c r="L61" s="3">
        <v>38904.28</v>
      </c>
      <c r="M61" s="3">
        <v>38904.28</v>
      </c>
      <c r="N61" s="3">
        <v>38904.28</v>
      </c>
      <c r="O61" s="3">
        <v>38904.28</v>
      </c>
      <c r="P61" s="3">
        <v>0</v>
      </c>
      <c r="Q61" s="3">
        <v>0</v>
      </c>
      <c r="Y61" s="3">
        <f>Y58-Y59</f>
        <v>1145396.1000000015</v>
      </c>
    </row>
    <row r="62" spans="1:25" ht="30.75" thickBot="1" x14ac:dyDescent="0.3">
      <c r="A62" s="2" t="s">
        <v>52</v>
      </c>
      <c r="B62" s="6"/>
      <c r="C62" s="9">
        <f>SUM(C55:C61)</f>
        <v>8349073.6500000004</v>
      </c>
      <c r="D62" s="6"/>
      <c r="E62" s="9">
        <f>SUM(E55:E61)</f>
        <v>10028968.719999999</v>
      </c>
      <c r="G62" s="9">
        <f>SUM(G55:G61)</f>
        <v>9583304.879999999</v>
      </c>
      <c r="H62" s="9">
        <f t="shared" ref="H62:R62" si="15">SUM(H55:H61)</f>
        <v>9583304.879999999</v>
      </c>
      <c r="I62" s="9">
        <f t="shared" si="15"/>
        <v>7543704.7100000009</v>
      </c>
      <c r="J62" s="9">
        <f t="shared" si="15"/>
        <v>7543704.7100000009</v>
      </c>
      <c r="K62" s="9">
        <f t="shared" si="15"/>
        <v>7086006.7100000009</v>
      </c>
      <c r="L62" s="9">
        <f t="shared" si="15"/>
        <v>9378184.709999999</v>
      </c>
      <c r="M62" s="9">
        <f t="shared" si="15"/>
        <v>8820591.6499999985</v>
      </c>
      <c r="N62" s="9">
        <f t="shared" si="15"/>
        <v>6733446.1300000008</v>
      </c>
      <c r="O62" s="9">
        <f t="shared" si="15"/>
        <v>4736175.67</v>
      </c>
      <c r="P62" s="9">
        <f t="shared" si="15"/>
        <v>2520236.2599999998</v>
      </c>
      <c r="Q62" s="9">
        <f t="shared" si="15"/>
        <v>8704723.1400000006</v>
      </c>
      <c r="R62" s="9">
        <f t="shared" si="15"/>
        <v>8349073.6500000004</v>
      </c>
      <c r="Y62" s="3"/>
    </row>
    <row r="63" spans="1:25" ht="23.25" customHeight="1" thickTop="1" x14ac:dyDescent="0.25">
      <c r="C63" s="3">
        <f>+C62-E62</f>
        <v>-1679895.0699999984</v>
      </c>
      <c r="Y63" s="3" t="s">
        <v>251</v>
      </c>
    </row>
    <row r="64" spans="1:25" ht="19.5" customHeight="1" x14ac:dyDescent="0.25">
      <c r="C64" s="59">
        <f>+C63/E62</f>
        <v>-0.16750426857448594</v>
      </c>
      <c r="N64" s="3" t="s">
        <v>251</v>
      </c>
      <c r="O64" s="3" t="s">
        <v>251</v>
      </c>
      <c r="Y64" s="3">
        <f>62225127.48+18862843.11+863689.4-18417264.12-1012804.96</f>
        <v>62521590.910000004</v>
      </c>
    </row>
    <row r="65" spans="1:25" x14ac:dyDescent="0.25">
      <c r="A65" s="37" t="s">
        <v>53</v>
      </c>
      <c r="B65" s="38"/>
      <c r="C65" s="39"/>
      <c r="D65" s="38"/>
      <c r="E65" s="39"/>
      <c r="F65" s="38"/>
      <c r="G65" s="39"/>
      <c r="H65" s="39"/>
      <c r="I65" s="39"/>
      <c r="J65" s="39"/>
      <c r="K65" s="39"/>
      <c r="L65" s="39"/>
      <c r="M65" s="39" t="s">
        <v>251</v>
      </c>
      <c r="N65" s="39"/>
      <c r="O65" s="39" t="s">
        <v>251</v>
      </c>
      <c r="P65" s="39"/>
      <c r="Q65" s="39"/>
      <c r="R65" s="39"/>
      <c r="Y65" s="114">
        <f>63880174.01-50532284.71</f>
        <v>13347889.299999997</v>
      </c>
    </row>
    <row r="66" spans="1:25" x14ac:dyDescent="0.25">
      <c r="A66" s="2"/>
    </row>
    <row r="67" spans="1:25" x14ac:dyDescent="0.25">
      <c r="A67" s="4" t="s">
        <v>12</v>
      </c>
      <c r="C67" s="5">
        <v>2020</v>
      </c>
      <c r="D67" s="6"/>
      <c r="E67" s="5">
        <v>2019</v>
      </c>
      <c r="G67" s="42" t="s">
        <v>176</v>
      </c>
      <c r="H67" s="42" t="s">
        <v>177</v>
      </c>
      <c r="I67" s="42" t="s">
        <v>178</v>
      </c>
      <c r="J67" s="42" t="s">
        <v>179</v>
      </c>
      <c r="K67" s="42" t="s">
        <v>180</v>
      </c>
      <c r="L67" s="42" t="s">
        <v>181</v>
      </c>
      <c r="M67" s="42" t="s">
        <v>240</v>
      </c>
      <c r="N67" s="42" t="s">
        <v>241</v>
      </c>
      <c r="O67" s="42" t="s">
        <v>265</v>
      </c>
      <c r="P67" s="42" t="s">
        <v>266</v>
      </c>
      <c r="Q67" s="42" t="s">
        <v>267</v>
      </c>
      <c r="R67" s="42" t="s">
        <v>268</v>
      </c>
    </row>
    <row r="68" spans="1:25" ht="45" x14ac:dyDescent="0.25">
      <c r="A68" s="7" t="s">
        <v>54</v>
      </c>
      <c r="C68" s="3">
        <f>+R68</f>
        <v>61425300.020000003</v>
      </c>
      <c r="E68" s="3">
        <v>57381035.460000001</v>
      </c>
      <c r="G68" s="3">
        <v>57641816.479999997</v>
      </c>
      <c r="H68" s="3">
        <v>54466798.880000003</v>
      </c>
      <c r="I68" s="3">
        <v>34251370.950000003</v>
      </c>
      <c r="J68" s="3">
        <v>45247537.390000001</v>
      </c>
      <c r="K68" s="3">
        <v>52970982.359999999</v>
      </c>
      <c r="L68" s="3">
        <v>59128327.899999999</v>
      </c>
      <c r="M68" s="3">
        <v>59362869.399999999</v>
      </c>
      <c r="N68" s="3">
        <v>57786510.090000004</v>
      </c>
      <c r="O68" s="3">
        <v>51816197.920000002</v>
      </c>
      <c r="P68" s="3">
        <v>49083325.960000001</v>
      </c>
      <c r="Q68" s="3">
        <v>58067431.770000003</v>
      </c>
      <c r="R68" s="3">
        <f>61425300.02</f>
        <v>61425300.020000003</v>
      </c>
    </row>
    <row r="69" spans="1:25" ht="30" x14ac:dyDescent="0.25">
      <c r="A69" s="7" t="s">
        <v>55</v>
      </c>
      <c r="C69" s="3">
        <f>+R69</f>
        <v>2324474.39</v>
      </c>
      <c r="E69" s="3">
        <v>4093068.87</v>
      </c>
      <c r="G69" s="3">
        <v>3471722.31</v>
      </c>
      <c r="H69" s="3">
        <v>3587098.83</v>
      </c>
      <c r="I69" s="3">
        <v>2905703.28</v>
      </c>
      <c r="J69" s="3">
        <v>2655560.5699999998</v>
      </c>
      <c r="K69" s="3">
        <v>2918389.41</v>
      </c>
      <c r="L69" s="3">
        <v>4220841.18</v>
      </c>
      <c r="M69" s="3">
        <v>2862258.08</v>
      </c>
      <c r="N69" s="3">
        <v>2745774.62</v>
      </c>
      <c r="O69" s="3">
        <v>2913222.47</v>
      </c>
      <c r="P69" s="3">
        <v>2509623.0099999998</v>
      </c>
      <c r="Q69" s="3">
        <v>2334895.4300000002</v>
      </c>
      <c r="R69" s="3">
        <v>2324474.39</v>
      </c>
    </row>
    <row r="70" spans="1:25" ht="15.75" thickBot="1" x14ac:dyDescent="0.3">
      <c r="A70" s="2" t="s">
        <v>56</v>
      </c>
      <c r="B70" s="6"/>
      <c r="C70" s="9">
        <f>SUM(C68:C69)</f>
        <v>63749774.410000004</v>
      </c>
      <c r="D70" s="6"/>
      <c r="E70" s="9">
        <f>SUM(E68:E69)</f>
        <v>61474104.329999998</v>
      </c>
      <c r="G70" s="9">
        <f>SUM(G68:G69)</f>
        <v>61113538.789999999</v>
      </c>
      <c r="H70" s="9">
        <f t="shared" ref="H70:R70" si="16">SUM(H68:H69)</f>
        <v>58053897.710000001</v>
      </c>
      <c r="I70" s="9">
        <f t="shared" si="16"/>
        <v>37157074.230000004</v>
      </c>
      <c r="J70" s="9">
        <f t="shared" si="16"/>
        <v>47903097.960000001</v>
      </c>
      <c r="K70" s="9">
        <f t="shared" si="16"/>
        <v>55889371.769999996</v>
      </c>
      <c r="L70" s="9">
        <f t="shared" si="16"/>
        <v>63349169.079999998</v>
      </c>
      <c r="M70" s="9">
        <f t="shared" si="16"/>
        <v>62225127.479999997</v>
      </c>
      <c r="N70" s="9">
        <f t="shared" si="16"/>
        <v>60532284.710000001</v>
      </c>
      <c r="O70" s="9">
        <f t="shared" si="16"/>
        <v>54729420.390000001</v>
      </c>
      <c r="P70" s="9">
        <f t="shared" si="16"/>
        <v>51592948.969999999</v>
      </c>
      <c r="Q70" s="9">
        <f t="shared" si="16"/>
        <v>60402327.200000003</v>
      </c>
      <c r="R70" s="9">
        <f t="shared" si="16"/>
        <v>63749774.410000004</v>
      </c>
    </row>
    <row r="71" spans="1:25" ht="15.75" customHeight="1" thickTop="1" x14ac:dyDescent="0.25">
      <c r="C71" s="3">
        <f>+C70-E70</f>
        <v>2275670.0800000057</v>
      </c>
    </row>
    <row r="72" spans="1:25" ht="16.5" customHeight="1" x14ac:dyDescent="0.25">
      <c r="C72" s="59">
        <f>+C71/E70</f>
        <v>3.7018352764994336E-2</v>
      </c>
    </row>
    <row r="73" spans="1:25" x14ac:dyDescent="0.25">
      <c r="A73" s="37" t="s">
        <v>57</v>
      </c>
      <c r="B73" s="38"/>
      <c r="C73" s="39"/>
      <c r="D73" s="38"/>
      <c r="E73" s="39"/>
      <c r="F73" s="3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25" x14ac:dyDescent="0.25">
      <c r="A74" s="2"/>
    </row>
    <row r="75" spans="1:25" x14ac:dyDescent="0.25">
      <c r="A75" s="4" t="s">
        <v>12</v>
      </c>
      <c r="C75" s="5">
        <v>2020</v>
      </c>
      <c r="D75" s="6"/>
      <c r="E75" s="5">
        <v>2019</v>
      </c>
      <c r="G75" s="42" t="s">
        <v>176</v>
      </c>
      <c r="H75" s="42" t="s">
        <v>177</v>
      </c>
      <c r="I75" s="42" t="s">
        <v>178</v>
      </c>
      <c r="J75" s="42" t="s">
        <v>179</v>
      </c>
      <c r="K75" s="42" t="s">
        <v>180</v>
      </c>
      <c r="L75" s="42" t="s">
        <v>181</v>
      </c>
      <c r="M75" s="42" t="s">
        <v>240</v>
      </c>
      <c r="N75" s="42" t="s">
        <v>241</v>
      </c>
      <c r="O75" s="42" t="s">
        <v>265</v>
      </c>
      <c r="P75" s="42" t="s">
        <v>266</v>
      </c>
      <c r="Q75" s="42" t="s">
        <v>267</v>
      </c>
      <c r="R75" s="42" t="s">
        <v>268</v>
      </c>
    </row>
    <row r="76" spans="1:25" x14ac:dyDescent="0.25">
      <c r="A76" s="7" t="s">
        <v>58</v>
      </c>
      <c r="C76" s="3">
        <f>+R76</f>
        <v>12067.439999999999</v>
      </c>
      <c r="E76" s="3">
        <v>12067.44</v>
      </c>
      <c r="L76" s="3">
        <v>12067.439999999999</v>
      </c>
      <c r="M76" s="3">
        <v>12067.439999999999</v>
      </c>
      <c r="N76" s="3">
        <v>12067.439999999999</v>
      </c>
      <c r="O76" s="3">
        <v>12067.439999999999</v>
      </c>
      <c r="P76" s="3">
        <v>12067.439999999999</v>
      </c>
      <c r="Q76" s="3">
        <v>12067.439999999999</v>
      </c>
      <c r="R76" s="3">
        <v>12067.439999999999</v>
      </c>
    </row>
    <row r="77" spans="1:25" x14ac:dyDescent="0.25">
      <c r="A77" s="7" t="s">
        <v>59</v>
      </c>
      <c r="C77" s="3">
        <f>+R77</f>
        <v>12500.029999999988</v>
      </c>
      <c r="E77" s="3">
        <v>11600.01</v>
      </c>
      <c r="L77" s="3">
        <v>12500.029999999988</v>
      </c>
      <c r="M77" s="3">
        <v>12500.029999999988</v>
      </c>
      <c r="N77" s="3">
        <v>12500.029999999988</v>
      </c>
      <c r="O77" s="3">
        <v>12500.029999999988</v>
      </c>
      <c r="P77" s="3">
        <v>12500.029999999988</v>
      </c>
      <c r="Q77" s="3">
        <v>12500.029999999988</v>
      </c>
      <c r="R77" s="3">
        <v>12500.029999999988</v>
      </c>
    </row>
    <row r="78" spans="1:25" x14ac:dyDescent="0.25">
      <c r="A78" s="7" t="s">
        <v>60</v>
      </c>
      <c r="B78" s="6" t="s">
        <v>318</v>
      </c>
      <c r="C78" s="3">
        <f>+R78</f>
        <v>166147.28000000009</v>
      </c>
      <c r="E78" s="3">
        <v>166147.23000000001</v>
      </c>
      <c r="L78" s="3">
        <v>166147.28000000009</v>
      </c>
      <c r="M78" s="3">
        <v>166147.28000000009</v>
      </c>
      <c r="N78" s="3">
        <v>166147.28000000009</v>
      </c>
      <c r="O78" s="3">
        <v>166147.28000000009</v>
      </c>
      <c r="P78" s="3">
        <v>166147.28000000009</v>
      </c>
      <c r="Q78" s="3">
        <v>166147.28000000009</v>
      </c>
      <c r="R78" s="3">
        <v>166147.28000000009</v>
      </c>
    </row>
    <row r="79" spans="1:25" x14ac:dyDescent="0.25">
      <c r="A79" s="7" t="s">
        <v>61</v>
      </c>
      <c r="B79" s="6" t="s">
        <v>319</v>
      </c>
      <c r="C79" s="3">
        <f>+R79</f>
        <v>62350.049999999952</v>
      </c>
      <c r="E79" s="3">
        <v>63250.02</v>
      </c>
      <c r="L79" s="3">
        <v>62350.049999999952</v>
      </c>
      <c r="M79" s="3">
        <v>62350.049999999952</v>
      </c>
      <c r="N79" s="3">
        <v>62350.049999999952</v>
      </c>
      <c r="O79" s="3">
        <v>62350.049999999952</v>
      </c>
      <c r="P79" s="3">
        <v>62350.049999999952</v>
      </c>
      <c r="Q79" s="3">
        <v>62350.049999999952</v>
      </c>
      <c r="R79" s="3">
        <v>62350.049999999952</v>
      </c>
    </row>
    <row r="80" spans="1:25" ht="15.75" thickBot="1" x14ac:dyDescent="0.3">
      <c r="A80" s="2" t="s">
        <v>62</v>
      </c>
      <c r="B80" s="6" t="s">
        <v>320</v>
      </c>
      <c r="C80" s="9">
        <f>SUM(C76:C79)</f>
        <v>253064.80000000002</v>
      </c>
      <c r="D80" s="6"/>
      <c r="E80" s="9">
        <f>SUM(E76:E79)</f>
        <v>253064.7</v>
      </c>
      <c r="G80" s="9">
        <f>SUM(G76:G79)</f>
        <v>0</v>
      </c>
      <c r="H80" s="9">
        <f t="shared" ref="H80:M80" si="17">SUM(H76:H79)</f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253064.80000000002</v>
      </c>
      <c r="M80" s="9">
        <f t="shared" si="17"/>
        <v>253064.80000000002</v>
      </c>
      <c r="N80" s="9">
        <f t="shared" ref="N80:R80" si="18">SUM(N76:N79)</f>
        <v>253064.80000000002</v>
      </c>
      <c r="O80" s="9">
        <f t="shared" si="18"/>
        <v>253064.80000000002</v>
      </c>
      <c r="P80" s="9">
        <f t="shared" si="18"/>
        <v>253064.80000000002</v>
      </c>
      <c r="Q80" s="9">
        <f t="shared" si="18"/>
        <v>253064.80000000002</v>
      </c>
      <c r="R80" s="9">
        <f t="shared" si="18"/>
        <v>253064.80000000002</v>
      </c>
    </row>
    <row r="81" spans="1:18" ht="14.25" customHeight="1" thickTop="1" x14ac:dyDescent="0.25">
      <c r="C81" s="3">
        <f>+C80-E80</f>
        <v>0.10000000000582077</v>
      </c>
    </row>
    <row r="82" spans="1:18" ht="16.5" customHeight="1" x14ac:dyDescent="0.25">
      <c r="C82" s="61">
        <f>+C81/E80</f>
        <v>3.9515586332594296E-7</v>
      </c>
    </row>
    <row r="83" spans="1:18" x14ac:dyDescent="0.25">
      <c r="A83" s="37" t="s">
        <v>63</v>
      </c>
      <c r="B83" s="152" t="s">
        <v>321</v>
      </c>
      <c r="C83" s="39"/>
      <c r="D83" s="38"/>
      <c r="E83" s="39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4.25" customHeight="1" x14ac:dyDescent="0.25">
      <c r="A84" s="2"/>
      <c r="M84" s="3">
        <f>8850255+M62+M49</f>
        <v>179683031.52000001</v>
      </c>
    </row>
    <row r="85" spans="1:18" ht="12.75" customHeight="1" x14ac:dyDescent="0.2">
      <c r="A85" s="24"/>
      <c r="B85" s="25" t="s">
        <v>323</v>
      </c>
      <c r="C85" s="26" t="s">
        <v>64</v>
      </c>
      <c r="D85" s="25"/>
      <c r="E85" s="26" t="s">
        <v>65</v>
      </c>
      <c r="F85" s="25"/>
      <c r="G85" s="51" t="s">
        <v>66</v>
      </c>
      <c r="H85" s="52" t="s">
        <v>67</v>
      </c>
      <c r="I85" s="44"/>
    </row>
    <row r="86" spans="1:18" ht="13.5" customHeight="1" x14ac:dyDescent="0.25">
      <c r="A86" s="27" t="s">
        <v>189</v>
      </c>
      <c r="B86" s="25" t="s">
        <v>324</v>
      </c>
      <c r="C86" s="28">
        <v>435917181.16000003</v>
      </c>
      <c r="D86" s="29"/>
      <c r="E86" s="28">
        <v>111980014.55</v>
      </c>
      <c r="F86" s="29"/>
      <c r="G86" s="43">
        <v>2050790.8</v>
      </c>
      <c r="H86" s="43">
        <f>SUM(C86:G86)</f>
        <v>549947986.50999999</v>
      </c>
      <c r="I86" s="44"/>
    </row>
    <row r="87" spans="1:18" ht="15.75" customHeight="1" thickBot="1" x14ac:dyDescent="0.3">
      <c r="A87" s="30" t="s">
        <v>68</v>
      </c>
      <c r="B87" s="25"/>
      <c r="C87" s="64"/>
      <c r="D87" s="65"/>
      <c r="E87" s="64"/>
      <c r="F87" s="65"/>
      <c r="G87" s="87"/>
      <c r="H87" s="66">
        <f>SUM(C87:G87)</f>
        <v>0</v>
      </c>
      <c r="I87" s="44"/>
    </row>
    <row r="88" spans="1:18" ht="15.75" customHeight="1" thickBot="1" x14ac:dyDescent="0.3">
      <c r="A88" s="30" t="s">
        <v>70</v>
      </c>
      <c r="B88" s="25"/>
      <c r="C88" s="31">
        <f>SUM(C86:C87)</f>
        <v>435917181.16000003</v>
      </c>
      <c r="D88" s="29"/>
      <c r="E88" s="31">
        <f>SUM(E86:E87)</f>
        <v>111980014.55</v>
      </c>
      <c r="F88" s="29"/>
      <c r="G88" s="45">
        <f>SUM(G86:G87)</f>
        <v>2050790.8</v>
      </c>
      <c r="H88" s="45">
        <f>SUM(H86:H87)</f>
        <v>549947986.50999999</v>
      </c>
      <c r="I88" s="44"/>
    </row>
    <row r="89" spans="1:18" ht="14.25" customHeight="1" thickTop="1" x14ac:dyDescent="0.25">
      <c r="A89" s="27" t="s">
        <v>71</v>
      </c>
      <c r="B89" s="25"/>
      <c r="C89" s="32"/>
      <c r="D89" s="29"/>
      <c r="E89" s="32"/>
      <c r="F89" s="29"/>
      <c r="G89" s="46"/>
      <c r="H89" s="46"/>
      <c r="I89" s="44"/>
      <c r="J89"/>
      <c r="K89"/>
    </row>
    <row r="90" spans="1:18" ht="15.75" customHeight="1" x14ac:dyDescent="0.25">
      <c r="A90" s="30" t="s">
        <v>72</v>
      </c>
      <c r="B90" s="25"/>
      <c r="C90" s="28">
        <v>-335989468.41000003</v>
      </c>
      <c r="D90" s="29"/>
      <c r="E90" s="28">
        <v>-71732563.510000005</v>
      </c>
      <c r="F90" s="29"/>
      <c r="G90" s="43">
        <v>-1274602.4099999999</v>
      </c>
      <c r="H90" s="43">
        <f>SUM(C90:G90)</f>
        <v>-408996634.33000004</v>
      </c>
      <c r="I90" s="44"/>
      <c r="J90"/>
      <c r="K90"/>
    </row>
    <row r="91" spans="1:18" ht="21" customHeight="1" x14ac:dyDescent="0.25">
      <c r="A91" s="30" t="s">
        <v>73</v>
      </c>
      <c r="B91" s="25"/>
      <c r="C91" s="64"/>
      <c r="D91" s="65"/>
      <c r="E91" s="64"/>
      <c r="F91" s="65"/>
      <c r="G91" s="66"/>
      <c r="H91" s="66">
        <f>SUM(C91:G91)</f>
        <v>0</v>
      </c>
      <c r="I91" s="44"/>
      <c r="J91"/>
      <c r="K91"/>
    </row>
    <row r="92" spans="1:18" ht="15.75" customHeight="1" thickBot="1" x14ac:dyDescent="0.3">
      <c r="A92" s="30" t="s">
        <v>69</v>
      </c>
      <c r="B92" s="25"/>
      <c r="C92" s="63">
        <v>0</v>
      </c>
      <c r="D92" s="29"/>
      <c r="E92" s="63">
        <v>0</v>
      </c>
      <c r="F92" s="29"/>
      <c r="G92" s="63">
        <v>0</v>
      </c>
      <c r="H92" s="62">
        <f>SUM(C92:G92)</f>
        <v>0</v>
      </c>
      <c r="I92" s="44"/>
    </row>
    <row r="93" spans="1:18" ht="18.75" customHeight="1" thickBot="1" x14ac:dyDescent="0.3">
      <c r="A93" s="30" t="s">
        <v>74</v>
      </c>
      <c r="B93" s="25"/>
      <c r="C93" s="33">
        <f>SUM(C90:C92)</f>
        <v>-335989468.41000003</v>
      </c>
      <c r="D93" s="29"/>
      <c r="E93" s="33">
        <f>SUM(E90:E92)</f>
        <v>-71732563.510000005</v>
      </c>
      <c r="F93" s="29"/>
      <c r="G93" s="47">
        <f>SUM(G90:G92)</f>
        <v>-1274602.4099999999</v>
      </c>
      <c r="H93" s="48">
        <f>SUM(H90:H92)</f>
        <v>-408996634.33000004</v>
      </c>
      <c r="I93" s="44"/>
    </row>
    <row r="94" spans="1:18" ht="15" customHeight="1" thickBot="1" x14ac:dyDescent="0.3">
      <c r="A94" s="34" t="s">
        <v>190</v>
      </c>
      <c r="B94" s="25"/>
      <c r="C94" s="35">
        <f t="shared" ref="C94:G94" si="19">+C88+C93</f>
        <v>99927712.75</v>
      </c>
      <c r="D94" s="29"/>
      <c r="E94" s="35">
        <f t="shared" si="19"/>
        <v>40247451.039999992</v>
      </c>
      <c r="F94" s="29"/>
      <c r="G94" s="49">
        <f t="shared" si="19"/>
        <v>776188.39000000013</v>
      </c>
      <c r="H94" s="49">
        <f>+H88+H93</f>
        <v>140951352.17999995</v>
      </c>
      <c r="I94" s="44"/>
    </row>
    <row r="95" spans="1:18" ht="12.75" customHeight="1" thickTop="1" x14ac:dyDescent="0.25"/>
    <row r="96" spans="1:18" x14ac:dyDescent="0.25">
      <c r="M96" s="3">
        <v>255834500.33000001</v>
      </c>
    </row>
    <row r="97" spans="1:18" x14ac:dyDescent="0.25">
      <c r="A97" s="37" t="s">
        <v>75</v>
      </c>
      <c r="B97" s="38"/>
      <c r="C97" s="39"/>
      <c r="D97" s="38"/>
      <c r="E97" s="39"/>
      <c r="F97" s="38"/>
      <c r="G97" s="39"/>
      <c r="H97" s="39"/>
      <c r="I97" s="39"/>
      <c r="J97" s="39"/>
      <c r="K97" s="39"/>
      <c r="L97" s="39"/>
      <c r="M97" s="39">
        <f>M96-M84</f>
        <v>76151468.810000002</v>
      </c>
      <c r="N97" s="39"/>
      <c r="O97" s="39"/>
      <c r="P97" s="39"/>
      <c r="Q97" s="39"/>
      <c r="R97" s="39"/>
    </row>
    <row r="98" spans="1:18" x14ac:dyDescent="0.25">
      <c r="A98" s="2"/>
      <c r="H98" s="3" t="s">
        <v>251</v>
      </c>
    </row>
    <row r="99" spans="1:18" x14ac:dyDescent="0.25">
      <c r="A99" s="4" t="s">
        <v>12</v>
      </c>
      <c r="C99" s="5">
        <v>2020</v>
      </c>
      <c r="D99" s="6"/>
      <c r="E99" s="5">
        <v>2019</v>
      </c>
      <c r="G99" s="42" t="s">
        <v>176</v>
      </c>
      <c r="H99" s="42" t="s">
        <v>177</v>
      </c>
      <c r="I99" s="42" t="s">
        <v>178</v>
      </c>
      <c r="J99" s="42" t="s">
        <v>179</v>
      </c>
      <c r="K99" s="42" t="s">
        <v>180</v>
      </c>
      <c r="L99" s="42" t="s">
        <v>181</v>
      </c>
      <c r="M99" s="42" t="s">
        <v>240</v>
      </c>
      <c r="N99" s="42" t="s">
        <v>241</v>
      </c>
      <c r="O99" s="42" t="s">
        <v>265</v>
      </c>
      <c r="P99" s="42" t="s">
        <v>266</v>
      </c>
      <c r="Q99" s="42" t="s">
        <v>267</v>
      </c>
      <c r="R99" s="42" t="s">
        <v>268</v>
      </c>
    </row>
    <row r="100" spans="1:18" ht="30" x14ac:dyDescent="0.25">
      <c r="A100" s="7" t="s">
        <v>76</v>
      </c>
      <c r="C100" s="3">
        <f>+R100</f>
        <v>59070213.43</v>
      </c>
      <c r="E100" s="3">
        <v>67357780.689999998</v>
      </c>
      <c r="G100" s="3">
        <v>83253092.080000013</v>
      </c>
      <c r="H100" s="3">
        <v>115336986.01000002</v>
      </c>
      <c r="I100" s="3">
        <v>129079019.73000002</v>
      </c>
      <c r="J100" s="3">
        <v>140922342.09000003</v>
      </c>
      <c r="K100" s="3">
        <v>109352930.63</v>
      </c>
      <c r="L100" s="3">
        <v>30319210.260000028</v>
      </c>
      <c r="M100" s="3">
        <v>12619348.52</v>
      </c>
      <c r="N100" s="3">
        <v>10927253.52</v>
      </c>
      <c r="O100" s="3">
        <v>14874541.300000001</v>
      </c>
      <c r="P100" s="3">
        <v>22546420.559999999</v>
      </c>
      <c r="Q100" s="3">
        <v>35312777</v>
      </c>
      <c r="R100" s="3">
        <v>59070213.43</v>
      </c>
    </row>
    <row r="101" spans="1:18" x14ac:dyDescent="0.25">
      <c r="A101" s="7" t="s">
        <v>77</v>
      </c>
      <c r="C101" s="3">
        <f t="shared" ref="C101:C102" si="20">+R101</f>
        <v>0</v>
      </c>
      <c r="E101" s="3">
        <v>9278622.5</v>
      </c>
      <c r="L101" s="3">
        <v>2089365.15</v>
      </c>
    </row>
    <row r="102" spans="1:18" x14ac:dyDescent="0.25">
      <c r="A102" s="7" t="s">
        <v>78</v>
      </c>
      <c r="C102" s="3">
        <f t="shared" si="20"/>
        <v>0</v>
      </c>
      <c r="E102" s="3">
        <v>3875192.41</v>
      </c>
      <c r="L102" s="3">
        <v>212758.97999999998</v>
      </c>
    </row>
    <row r="103" spans="1:18" ht="15" customHeight="1" thickBot="1" x14ac:dyDescent="0.3">
      <c r="A103" s="2" t="s">
        <v>79</v>
      </c>
      <c r="B103" s="6"/>
      <c r="C103" s="9">
        <f>SUM(C100:C102)</f>
        <v>59070213.43</v>
      </c>
      <c r="D103" s="6"/>
      <c r="E103" s="9">
        <f>SUM(E100:E102)</f>
        <v>80511595.599999994</v>
      </c>
      <c r="G103" s="9">
        <f>SUM(G100:G102)</f>
        <v>83253092.080000013</v>
      </c>
      <c r="H103" s="9">
        <f t="shared" ref="H103:R103" si="21">SUM(H100:H102)</f>
        <v>115336986.01000002</v>
      </c>
      <c r="I103" s="9">
        <f t="shared" si="21"/>
        <v>129079019.73000002</v>
      </c>
      <c r="J103" s="9">
        <f t="shared" si="21"/>
        <v>140922342.09000003</v>
      </c>
      <c r="K103" s="9">
        <f t="shared" si="21"/>
        <v>109352930.63</v>
      </c>
      <c r="L103" s="9">
        <f t="shared" si="21"/>
        <v>32621334.390000027</v>
      </c>
      <c r="M103" s="9">
        <f t="shared" si="21"/>
        <v>12619348.52</v>
      </c>
      <c r="N103" s="9">
        <f t="shared" si="21"/>
        <v>10927253.52</v>
      </c>
      <c r="O103" s="9">
        <f t="shared" si="21"/>
        <v>14874541.300000001</v>
      </c>
      <c r="P103" s="9">
        <f t="shared" si="21"/>
        <v>22546420.559999999</v>
      </c>
      <c r="Q103" s="9">
        <f t="shared" si="21"/>
        <v>35312777</v>
      </c>
      <c r="R103" s="9">
        <f t="shared" si="21"/>
        <v>59070213.43</v>
      </c>
    </row>
    <row r="104" spans="1:18" ht="15" customHeight="1" thickTop="1" x14ac:dyDescent="0.25">
      <c r="C104" s="3">
        <f>+C103-E103</f>
        <v>-21441382.169999994</v>
      </c>
    </row>
    <row r="105" spans="1:18" ht="15" customHeight="1" x14ac:dyDescent="0.25">
      <c r="C105" s="59">
        <f>+C104/E103</f>
        <v>-0.26631421238408542</v>
      </c>
    </row>
    <row r="106" spans="1:18" x14ac:dyDescent="0.25">
      <c r="A106" s="37" t="s">
        <v>80</v>
      </c>
      <c r="B106" s="38"/>
      <c r="C106" s="39"/>
      <c r="D106" s="38"/>
      <c r="E106" s="39"/>
      <c r="F106" s="38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x14ac:dyDescent="0.25">
      <c r="A107" s="2"/>
    </row>
    <row r="108" spans="1:18" x14ac:dyDescent="0.25">
      <c r="A108" s="4" t="s">
        <v>12</v>
      </c>
      <c r="C108" s="5">
        <v>2020</v>
      </c>
      <c r="D108" s="6"/>
      <c r="E108" s="5">
        <v>2019</v>
      </c>
      <c r="G108" s="42" t="s">
        <v>176</v>
      </c>
      <c r="H108" s="42" t="s">
        <v>177</v>
      </c>
      <c r="I108" s="42" t="s">
        <v>178</v>
      </c>
      <c r="J108" s="42" t="s">
        <v>179</v>
      </c>
      <c r="K108" s="42" t="s">
        <v>180</v>
      </c>
      <c r="L108" s="42" t="s">
        <v>181</v>
      </c>
      <c r="M108" s="42" t="s">
        <v>240</v>
      </c>
      <c r="N108" s="42" t="s">
        <v>241</v>
      </c>
      <c r="O108" s="42" t="s">
        <v>265</v>
      </c>
      <c r="P108" s="42" t="s">
        <v>266</v>
      </c>
      <c r="Q108" s="42" t="s">
        <v>267</v>
      </c>
      <c r="R108" s="42" t="s">
        <v>268</v>
      </c>
    </row>
    <row r="109" spans="1:18" x14ac:dyDescent="0.25">
      <c r="A109" s="7" t="s">
        <v>81</v>
      </c>
      <c r="C109" s="74">
        <f>R109</f>
        <v>0</v>
      </c>
      <c r="D109" s="54"/>
      <c r="E109" s="53">
        <v>0</v>
      </c>
      <c r="F109" s="54"/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2537.1999999999998</v>
      </c>
      <c r="Q109" s="36">
        <v>0</v>
      </c>
      <c r="R109" s="36">
        <v>0</v>
      </c>
    </row>
    <row r="110" spans="1:18" x14ac:dyDescent="0.25">
      <c r="A110" s="7" t="s">
        <v>82</v>
      </c>
      <c r="C110" s="74">
        <f t="shared" ref="C110:C113" si="22">R110</f>
        <v>51571.534999999996</v>
      </c>
      <c r="D110" s="54"/>
      <c r="E110" s="53">
        <v>67611.8</v>
      </c>
      <c r="F110" s="54"/>
      <c r="G110" s="53">
        <v>94406.391499999998</v>
      </c>
      <c r="H110" s="53">
        <v>44972.866500000004</v>
      </c>
      <c r="I110" s="53">
        <v>93529.132500000007</v>
      </c>
      <c r="J110" s="53">
        <v>82972.945999999996</v>
      </c>
      <c r="K110" s="53">
        <v>79025.910499999998</v>
      </c>
      <c r="L110" s="53">
        <v>44972.866500000004</v>
      </c>
      <c r="M110" s="53">
        <v>39422.120000000003</v>
      </c>
      <c r="N110" s="53">
        <v>69291.877999999997</v>
      </c>
      <c r="O110" s="53">
        <v>21827.68</v>
      </c>
      <c r="P110" s="53">
        <f>1500+1250+1419.49+1620.53+2730+661.02+540.1+624.85+9823.94</f>
        <v>20169.93</v>
      </c>
      <c r="Q110" s="53">
        <f>300+5282.65+530.75+450+975+3000+213.75</f>
        <v>10752.15</v>
      </c>
      <c r="R110" s="53">
        <f>4430.09+41416.545+1500+322.4+872.1+950+1035+322.5+206.4+156.5+360</f>
        <v>51571.534999999996</v>
      </c>
    </row>
    <row r="111" spans="1:18" x14ac:dyDescent="0.25">
      <c r="A111" s="7" t="s">
        <v>83</v>
      </c>
      <c r="C111" s="74">
        <f t="shared" si="22"/>
        <v>11575</v>
      </c>
      <c r="D111" s="54"/>
      <c r="E111" s="53">
        <v>93106.72</v>
      </c>
      <c r="F111" s="54"/>
      <c r="G111" s="53">
        <v>72473.035000000018</v>
      </c>
      <c r="H111" s="53">
        <v>74577.498999999996</v>
      </c>
      <c r="I111" s="53">
        <v>57550.147999999994</v>
      </c>
      <c r="J111" s="53">
        <v>94478.949000000008</v>
      </c>
      <c r="K111" s="53">
        <v>114647.33100000003</v>
      </c>
      <c r="L111" s="53">
        <v>74577.498999999996</v>
      </c>
      <c r="M111" s="53">
        <v>67745.64</v>
      </c>
      <c r="N111" s="53">
        <v>9453.17</v>
      </c>
      <c r="O111" s="53">
        <v>40480.129999999997</v>
      </c>
      <c r="P111" s="53">
        <f>53120.57+2600+1050</f>
        <v>56770.57</v>
      </c>
      <c r="Q111" s="53">
        <v>15575.5</v>
      </c>
      <c r="R111" s="53">
        <f>600+1200+6575+3200</f>
        <v>11575</v>
      </c>
    </row>
    <row r="112" spans="1:18" x14ac:dyDescent="0.25">
      <c r="A112" s="7" t="s">
        <v>84</v>
      </c>
      <c r="C112" s="74">
        <f t="shared" si="22"/>
        <v>11160</v>
      </c>
      <c r="D112" s="54"/>
      <c r="E112" s="53">
        <v>17680</v>
      </c>
      <c r="F112" s="54"/>
      <c r="G112" s="53">
        <v>66029.67</v>
      </c>
      <c r="H112" s="53">
        <v>15479.657999999999</v>
      </c>
      <c r="I112" s="53">
        <v>9068.0040000000008</v>
      </c>
      <c r="J112" s="53"/>
      <c r="K112" s="53"/>
      <c r="L112" s="53">
        <v>29804.949000000001</v>
      </c>
      <c r="M112" s="53">
        <v>3953.9</v>
      </c>
      <c r="N112" s="53">
        <f>1620+14292</f>
        <v>15912</v>
      </c>
      <c r="O112" s="53">
        <v>5305.61</v>
      </c>
      <c r="P112" s="53">
        <f>5400+4500+713.9</f>
        <v>10613.9</v>
      </c>
      <c r="Q112" s="53">
        <f>1620+3510+10800</f>
        <v>15930</v>
      </c>
      <c r="R112" s="53">
        <f>5760+5400</f>
        <v>11160</v>
      </c>
    </row>
    <row r="113" spans="1:36" x14ac:dyDescent="0.25">
      <c r="A113" s="7" t="s">
        <v>85</v>
      </c>
      <c r="C113" s="74">
        <f t="shared" si="22"/>
        <v>0</v>
      </c>
      <c r="D113" s="54"/>
      <c r="E113" s="53">
        <v>1866.28</v>
      </c>
      <c r="F113" s="54"/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1304.6500000000001</v>
      </c>
      <c r="P113" s="36">
        <v>0</v>
      </c>
      <c r="Q113" s="36">
        <v>0</v>
      </c>
      <c r="R113" s="36">
        <v>0</v>
      </c>
    </row>
    <row r="114" spans="1:36" ht="30.75" thickBot="1" x14ac:dyDescent="0.3">
      <c r="A114" s="2" t="s">
        <v>86</v>
      </c>
      <c r="B114" s="6"/>
      <c r="C114" s="9">
        <f>SUM(C109:C113)</f>
        <v>74306.535000000003</v>
      </c>
      <c r="D114" s="6"/>
      <c r="E114" s="9">
        <f>SUM(E109:E113)</f>
        <v>180264.80000000002</v>
      </c>
      <c r="G114" s="9">
        <f>SUM(G109:G113)</f>
        <v>232909.09649999999</v>
      </c>
      <c r="H114" s="9">
        <f t="shared" ref="H114:R114" si="23">SUM(H109:H113)</f>
        <v>135030.02350000001</v>
      </c>
      <c r="I114" s="9">
        <f t="shared" si="23"/>
        <v>160147.28450000001</v>
      </c>
      <c r="J114" s="9">
        <f t="shared" si="23"/>
        <v>177451.89500000002</v>
      </c>
      <c r="K114" s="9">
        <f t="shared" si="23"/>
        <v>193673.24150000003</v>
      </c>
      <c r="L114" s="9">
        <f t="shared" si="23"/>
        <v>149355.31450000001</v>
      </c>
      <c r="M114" s="9">
        <f t="shared" si="23"/>
        <v>111121.66</v>
      </c>
      <c r="N114" s="9">
        <f t="shared" si="23"/>
        <v>94657.047999999995</v>
      </c>
      <c r="O114" s="9">
        <f t="shared" si="23"/>
        <v>68918.069999999992</v>
      </c>
      <c r="P114" s="9">
        <f t="shared" si="23"/>
        <v>90091.599999999991</v>
      </c>
      <c r="Q114" s="9">
        <f t="shared" si="23"/>
        <v>42257.65</v>
      </c>
      <c r="R114" s="9">
        <f t="shared" si="23"/>
        <v>74306.535000000003</v>
      </c>
    </row>
    <row r="115" spans="1:36" ht="26.25" customHeight="1" thickTop="1" x14ac:dyDescent="0.25">
      <c r="C115" s="3">
        <f>+C114-E114</f>
        <v>-105958.26500000001</v>
      </c>
    </row>
    <row r="116" spans="1:36" ht="16.5" customHeight="1" x14ac:dyDescent="0.25">
      <c r="C116" s="59">
        <f>+C115/E114</f>
        <v>-0.58779231996485171</v>
      </c>
    </row>
    <row r="117" spans="1:36" x14ac:dyDescent="0.25">
      <c r="A117" s="37" t="s">
        <v>87</v>
      </c>
      <c r="B117" s="38"/>
      <c r="C117" s="39"/>
      <c r="D117" s="38"/>
      <c r="E117" s="39"/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36" x14ac:dyDescent="0.25">
      <c r="A118" s="2"/>
    </row>
    <row r="119" spans="1:36" x14ac:dyDescent="0.25">
      <c r="A119" s="4" t="s">
        <v>12</v>
      </c>
      <c r="C119" s="5">
        <v>2020</v>
      </c>
      <c r="D119" s="6"/>
      <c r="E119" s="5">
        <v>2019</v>
      </c>
      <c r="G119" s="42" t="s">
        <v>176</v>
      </c>
      <c r="H119" s="42" t="s">
        <v>177</v>
      </c>
      <c r="I119" s="42" t="s">
        <v>178</v>
      </c>
      <c r="J119" s="42" t="s">
        <v>179</v>
      </c>
      <c r="K119" s="42" t="s">
        <v>180</v>
      </c>
      <c r="L119" s="42" t="s">
        <v>181</v>
      </c>
      <c r="M119" s="42" t="s">
        <v>240</v>
      </c>
      <c r="N119" s="42" t="s">
        <v>241</v>
      </c>
      <c r="O119" s="42" t="s">
        <v>265</v>
      </c>
      <c r="P119" s="42" t="s">
        <v>266</v>
      </c>
      <c r="Q119" s="42" t="s">
        <v>267</v>
      </c>
      <c r="R119" s="42" t="s">
        <v>268</v>
      </c>
    </row>
    <row r="120" spans="1:36" x14ac:dyDescent="0.25">
      <c r="A120" s="7" t="s">
        <v>88</v>
      </c>
      <c r="C120" s="3">
        <f>+R120</f>
        <v>534638142.77999997</v>
      </c>
      <c r="E120" s="3">
        <v>534638142.77999997</v>
      </c>
      <c r="G120" s="3">
        <v>534638142.77999997</v>
      </c>
      <c r="H120" s="3">
        <v>534638142.77999997</v>
      </c>
      <c r="I120" s="3">
        <v>534638142.77999997</v>
      </c>
      <c r="J120" s="3">
        <v>534638142.77999997</v>
      </c>
      <c r="K120" s="3">
        <v>534638142.77999997</v>
      </c>
      <c r="L120" s="3">
        <v>534638142.77999997</v>
      </c>
      <c r="M120" s="3">
        <v>534638142.77999997</v>
      </c>
      <c r="N120" s="3">
        <v>534638142.77999997</v>
      </c>
      <c r="O120" s="3">
        <v>534638142.77999997</v>
      </c>
      <c r="P120" s="3">
        <v>534638142.77999997</v>
      </c>
      <c r="Q120" s="3">
        <v>534638142.77999997</v>
      </c>
      <c r="R120" s="3">
        <v>534638142.77999997</v>
      </c>
    </row>
    <row r="121" spans="1:36" x14ac:dyDescent="0.25">
      <c r="A121" s="7" t="s">
        <v>89</v>
      </c>
      <c r="C121" s="3">
        <f t="shared" ref="C121:C123" si="24">+R121</f>
        <v>0</v>
      </c>
      <c r="E121" s="3">
        <v>0</v>
      </c>
    </row>
    <row r="122" spans="1:36" x14ac:dyDescent="0.25">
      <c r="A122" s="7" t="s">
        <v>90</v>
      </c>
      <c r="C122" s="3">
        <f t="shared" si="24"/>
        <v>0</v>
      </c>
      <c r="E122" s="3">
        <v>51396104.340000004</v>
      </c>
      <c r="L122" s="3">
        <v>197658744.56999999</v>
      </c>
    </row>
    <row r="123" spans="1:36" x14ac:dyDescent="0.25">
      <c r="A123" s="7" t="s">
        <v>91</v>
      </c>
      <c r="C123" s="3">
        <f t="shared" si="24"/>
        <v>0</v>
      </c>
      <c r="E123" s="3">
        <v>90505467.069999993</v>
      </c>
      <c r="L123" s="3">
        <v>59415536.892278254</v>
      </c>
      <c r="M123" s="3">
        <v>41138006</v>
      </c>
      <c r="N123" s="3">
        <v>55776050.859999999</v>
      </c>
    </row>
    <row r="124" spans="1:36" s="6" customFormat="1" ht="15.75" thickBot="1" x14ac:dyDescent="0.3">
      <c r="A124" s="2" t="s">
        <v>92</v>
      </c>
      <c r="C124" s="9">
        <f>SUM(C120:C123)</f>
        <v>534638142.77999997</v>
      </c>
      <c r="E124" s="9">
        <f>SUM(E120:E123)</f>
        <v>676539714.19000006</v>
      </c>
      <c r="G124" s="9">
        <f>SUM(G120:G123)</f>
        <v>534638142.77999997</v>
      </c>
      <c r="H124" s="9">
        <f t="shared" ref="H124:R124" si="25">SUM(H120:H123)</f>
        <v>534638142.77999997</v>
      </c>
      <c r="I124" s="9">
        <f t="shared" si="25"/>
        <v>534638142.77999997</v>
      </c>
      <c r="J124" s="9">
        <f t="shared" si="25"/>
        <v>534638142.77999997</v>
      </c>
      <c r="K124" s="9">
        <f t="shared" si="25"/>
        <v>534638142.77999997</v>
      </c>
      <c r="L124" s="9">
        <f t="shared" si="25"/>
        <v>791712424.2422781</v>
      </c>
      <c r="M124" s="9">
        <f t="shared" si="25"/>
        <v>575776148.77999997</v>
      </c>
      <c r="N124" s="9">
        <f t="shared" si="25"/>
        <v>590414193.63999999</v>
      </c>
      <c r="O124" s="9">
        <f t="shared" si="25"/>
        <v>534638142.77999997</v>
      </c>
      <c r="P124" s="9">
        <f t="shared" si="25"/>
        <v>534638142.77999997</v>
      </c>
      <c r="Q124" s="9">
        <f t="shared" si="25"/>
        <v>534638142.77999997</v>
      </c>
      <c r="R124" s="9">
        <f t="shared" si="25"/>
        <v>534638142.77999997</v>
      </c>
      <c r="S124" s="5"/>
      <c r="T124" s="58"/>
      <c r="U124" s="58"/>
      <c r="V124" s="58"/>
      <c r="W124" s="58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</row>
    <row r="125" spans="1:36" ht="19.5" customHeight="1" thickTop="1" x14ac:dyDescent="0.25">
      <c r="C125" s="3">
        <f>+C124-E124</f>
        <v>-141901571.41000009</v>
      </c>
    </row>
    <row r="126" spans="1:36" ht="15" customHeight="1" x14ac:dyDescent="0.25">
      <c r="C126" s="59">
        <f>+C125/E124</f>
        <v>-0.2097461071888358</v>
      </c>
    </row>
    <row r="127" spans="1:36" x14ac:dyDescent="0.25">
      <c r="A127" s="37" t="s">
        <v>93</v>
      </c>
      <c r="B127" s="38"/>
      <c r="C127" s="39"/>
      <c r="D127" s="38"/>
      <c r="E127" s="39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9" spans="1:36" x14ac:dyDescent="0.25">
      <c r="A129" s="4" t="s">
        <v>12</v>
      </c>
      <c r="C129" s="5">
        <v>2020</v>
      </c>
      <c r="D129" s="6"/>
      <c r="E129" s="5">
        <v>2019</v>
      </c>
      <c r="G129" s="42" t="s">
        <v>176</v>
      </c>
      <c r="H129" s="42" t="s">
        <v>177</v>
      </c>
      <c r="I129" s="42" t="s">
        <v>178</v>
      </c>
      <c r="J129" s="42" t="s">
        <v>179</v>
      </c>
      <c r="K129" s="42" t="s">
        <v>180</v>
      </c>
      <c r="L129" s="42" t="s">
        <v>181</v>
      </c>
      <c r="M129" s="42" t="s">
        <v>240</v>
      </c>
      <c r="N129" s="42" t="s">
        <v>241</v>
      </c>
      <c r="O129" s="42" t="s">
        <v>265</v>
      </c>
      <c r="P129" s="42" t="s">
        <v>266</v>
      </c>
      <c r="Q129" s="42" t="s">
        <v>267</v>
      </c>
      <c r="R129" s="42" t="s">
        <v>268</v>
      </c>
    </row>
    <row r="130" spans="1:36" x14ac:dyDescent="0.25">
      <c r="A130" s="7" t="s">
        <v>94</v>
      </c>
      <c r="C130" s="3">
        <f>SUM(G130:R130)</f>
        <v>250417682.23999998</v>
      </c>
      <c r="E130" s="3">
        <v>244696976.21000001</v>
      </c>
      <c r="G130" s="3">
        <v>31344652.050000001</v>
      </c>
      <c r="H130" s="3">
        <v>71169867.140000001</v>
      </c>
      <c r="I130" s="36">
        <v>0</v>
      </c>
      <c r="J130" s="3">
        <v>47014947.020000003</v>
      </c>
      <c r="K130" s="3">
        <v>5261851.6900000004</v>
      </c>
      <c r="L130" s="3">
        <v>29844613.850000001</v>
      </c>
      <c r="M130" s="3">
        <v>27919112.32</v>
      </c>
      <c r="N130" s="3">
        <v>5758919.8799999999</v>
      </c>
      <c r="O130" s="3">
        <v>7034408.5699999994</v>
      </c>
      <c r="P130" s="3">
        <v>4220993.34</v>
      </c>
      <c r="Q130" s="3">
        <v>12409863.41</v>
      </c>
      <c r="R130" s="3">
        <v>8438452.9700000007</v>
      </c>
    </row>
    <row r="131" spans="1:36" x14ac:dyDescent="0.25">
      <c r="A131" s="7" t="s">
        <v>95</v>
      </c>
      <c r="C131" s="3">
        <f t="shared" ref="C131:C135" si="26">SUM(G131:R131)</f>
        <v>105594941.67</v>
      </c>
      <c r="E131" s="3">
        <v>75769810.670000002</v>
      </c>
      <c r="G131" s="3">
        <v>14759668.6</v>
      </c>
      <c r="H131" s="3">
        <v>16755478.66</v>
      </c>
      <c r="I131" s="3">
        <v>9599008.5700000003</v>
      </c>
      <c r="J131" s="3">
        <v>7456446.1299999999</v>
      </c>
      <c r="K131" s="3">
        <v>5031365.2399999993</v>
      </c>
      <c r="L131" s="3">
        <v>5141062.16</v>
      </c>
      <c r="M131" s="3">
        <v>18071548.289999999</v>
      </c>
      <c r="N131" s="3">
        <v>2137975.41</v>
      </c>
      <c r="O131" s="3">
        <v>6247154.2800000003</v>
      </c>
      <c r="P131" s="3">
        <v>16488141.57</v>
      </c>
      <c r="Q131" s="3">
        <v>2642402.5299999998</v>
      </c>
      <c r="R131" s="3">
        <f>845151.7+237799.72+2500+157939.99+14498.82+6800</f>
        <v>1264690.23</v>
      </c>
    </row>
    <row r="132" spans="1:36" x14ac:dyDescent="0.25">
      <c r="A132" s="7" t="s">
        <v>96</v>
      </c>
      <c r="C132" s="3">
        <f t="shared" si="26"/>
        <v>29509801.599999998</v>
      </c>
      <c r="E132" s="3">
        <v>43331695.140000001</v>
      </c>
      <c r="G132" s="3">
        <v>6400619.6300000008</v>
      </c>
      <c r="H132" s="3">
        <v>6006418.2400000002</v>
      </c>
      <c r="I132" s="3">
        <v>3870593.1799999992</v>
      </c>
      <c r="J132" s="3">
        <v>298514.84999999998</v>
      </c>
      <c r="K132" s="3">
        <v>457582.92000000004</v>
      </c>
      <c r="L132" s="3">
        <v>56669.84</v>
      </c>
      <c r="O132" s="3">
        <v>2402755.9500000002</v>
      </c>
      <c r="P132" s="3">
        <v>4878435.33</v>
      </c>
      <c r="Q132" s="3">
        <v>4208011.66</v>
      </c>
      <c r="R132" s="3">
        <v>930200</v>
      </c>
    </row>
    <row r="133" spans="1:36" x14ac:dyDescent="0.25">
      <c r="A133" s="7" t="s">
        <v>97</v>
      </c>
      <c r="C133" s="3">
        <f t="shared" si="26"/>
        <v>1437989.22</v>
      </c>
      <c r="E133" s="3">
        <v>6846306.8300000001</v>
      </c>
      <c r="G133" s="3">
        <v>93771.22</v>
      </c>
      <c r="H133" s="3">
        <v>752000</v>
      </c>
      <c r="I133" s="3">
        <v>171850</v>
      </c>
      <c r="J133" s="3">
        <v>400240</v>
      </c>
      <c r="K133" s="36">
        <v>0</v>
      </c>
      <c r="L133" s="36"/>
      <c r="M133" s="36"/>
      <c r="N133" s="36"/>
      <c r="O133" s="36"/>
      <c r="P133" s="36"/>
      <c r="R133" s="53">
        <f>7900+12228</f>
        <v>20128</v>
      </c>
    </row>
    <row r="134" spans="1:36" x14ac:dyDescent="0.25">
      <c r="A134" s="7" t="s">
        <v>98</v>
      </c>
      <c r="C134" s="3">
        <f t="shared" si="26"/>
        <v>0</v>
      </c>
      <c r="E134" s="3">
        <v>115400</v>
      </c>
      <c r="R134" s="3">
        <v>0</v>
      </c>
    </row>
    <row r="135" spans="1:36" x14ac:dyDescent="0.25">
      <c r="A135" s="7" t="s">
        <v>99</v>
      </c>
      <c r="C135" s="3">
        <f t="shared" si="26"/>
        <v>5360368.8100000005</v>
      </c>
      <c r="E135" s="36">
        <v>0</v>
      </c>
      <c r="N135" s="53">
        <v>1046732.77</v>
      </c>
      <c r="R135" s="3">
        <v>4313636.04</v>
      </c>
    </row>
    <row r="136" spans="1:36" s="6" customFormat="1" ht="15.75" thickBot="1" x14ac:dyDescent="0.3">
      <c r="A136" s="2" t="s">
        <v>100</v>
      </c>
      <c r="C136" s="9">
        <f>SUM(C130:C135)</f>
        <v>392320783.54000002</v>
      </c>
      <c r="E136" s="9">
        <f>SUM(E130:E135)</f>
        <v>370760188.84999996</v>
      </c>
      <c r="G136" s="9">
        <f>SUM(G130:G135)</f>
        <v>52598711.5</v>
      </c>
      <c r="H136" s="9">
        <f t="shared" ref="H136:R136" si="27">SUM(H130:H135)</f>
        <v>94683764.039999992</v>
      </c>
      <c r="I136" s="9">
        <f t="shared" si="27"/>
        <v>13641451.75</v>
      </c>
      <c r="J136" s="9">
        <f t="shared" si="27"/>
        <v>55170148.000000007</v>
      </c>
      <c r="K136" s="9">
        <f t="shared" si="27"/>
        <v>10750799.85</v>
      </c>
      <c r="L136" s="9">
        <f t="shared" si="27"/>
        <v>35042345.850000009</v>
      </c>
      <c r="M136" s="9">
        <f t="shared" si="27"/>
        <v>45990660.609999999</v>
      </c>
      <c r="N136" s="9">
        <f>SUM(N130:N135)</f>
        <v>8943628.0600000005</v>
      </c>
      <c r="O136" s="9">
        <f t="shared" si="27"/>
        <v>15684318.800000001</v>
      </c>
      <c r="P136" s="9">
        <f t="shared" si="27"/>
        <v>25587570.240000002</v>
      </c>
      <c r="Q136" s="9">
        <f t="shared" si="27"/>
        <v>19260277.600000001</v>
      </c>
      <c r="R136" s="9">
        <f t="shared" si="27"/>
        <v>14967107.240000002</v>
      </c>
      <c r="S136" s="5"/>
      <c r="T136" s="58"/>
      <c r="U136" s="58"/>
      <c r="V136" s="58"/>
      <c r="W136" s="58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</row>
    <row r="137" spans="1:36" ht="15.75" customHeight="1" thickTop="1" x14ac:dyDescent="0.25">
      <c r="C137" s="3">
        <f>+C136-E136</f>
        <v>21560594.690000057</v>
      </c>
    </row>
    <row r="138" spans="1:36" ht="14.25" customHeight="1" x14ac:dyDescent="0.25">
      <c r="C138" s="59">
        <f>+C137/E136</f>
        <v>5.8152399686911688E-2</v>
      </c>
    </row>
    <row r="139" spans="1:36" x14ac:dyDescent="0.25">
      <c r="A139" s="37" t="s">
        <v>101</v>
      </c>
      <c r="B139" s="38"/>
      <c r="C139" s="39"/>
      <c r="D139" s="38"/>
      <c r="E139" s="39"/>
      <c r="F139" s="3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36" x14ac:dyDescent="0.25">
      <c r="A140" s="2"/>
    </row>
    <row r="141" spans="1:36" x14ac:dyDescent="0.25">
      <c r="A141" s="4" t="s">
        <v>12</v>
      </c>
      <c r="C141" s="5">
        <v>2020</v>
      </c>
      <c r="D141" s="6"/>
      <c r="E141" s="5">
        <v>2019</v>
      </c>
      <c r="G141" s="42" t="s">
        <v>176</v>
      </c>
      <c r="H141" s="42" t="s">
        <v>177</v>
      </c>
      <c r="I141" s="42" t="s">
        <v>178</v>
      </c>
      <c r="J141" s="42" t="s">
        <v>179</v>
      </c>
      <c r="K141" s="42" t="s">
        <v>180</v>
      </c>
      <c r="L141" s="42" t="s">
        <v>181</v>
      </c>
      <c r="M141" s="42" t="s">
        <v>240</v>
      </c>
      <c r="N141" s="42" t="s">
        <v>241</v>
      </c>
      <c r="O141" s="42" t="s">
        <v>265</v>
      </c>
      <c r="P141" s="42" t="s">
        <v>266</v>
      </c>
      <c r="Q141" s="42" t="s">
        <v>267</v>
      </c>
      <c r="R141" s="42" t="s">
        <v>268</v>
      </c>
    </row>
    <row r="142" spans="1:36" x14ac:dyDescent="0.25">
      <c r="A142" s="7" t="s">
        <v>102</v>
      </c>
      <c r="C142" s="3">
        <f>SUM(G142:R142)</f>
        <v>223146580.97999999</v>
      </c>
      <c r="E142" s="3">
        <v>100924415.19</v>
      </c>
      <c r="G142" s="3">
        <v>17235106.379999999</v>
      </c>
      <c r="H142" s="3">
        <v>17235106.379999999</v>
      </c>
      <c r="I142" s="3">
        <v>17235106.379999999</v>
      </c>
      <c r="J142" s="3">
        <v>17235106.379999999</v>
      </c>
      <c r="K142" s="3">
        <v>17235106.379999999</v>
      </c>
      <c r="L142" s="3">
        <v>17235106.379999999</v>
      </c>
      <c r="M142" s="3">
        <v>17235106.379999999</v>
      </c>
      <c r="N142" s="3">
        <v>17235106.379999999</v>
      </c>
      <c r="O142" s="3">
        <v>17235106.379999999</v>
      </c>
      <c r="P142" s="3">
        <v>17297940.420000002</v>
      </c>
      <c r="Q142" s="3">
        <v>17297940.420000002</v>
      </c>
      <c r="R142" s="3">
        <f>18850192.3+14584550.42</f>
        <v>33434742.719999999</v>
      </c>
    </row>
    <row r="143" spans="1:36" s="6" customFormat="1" ht="15.75" thickBot="1" x14ac:dyDescent="0.3">
      <c r="A143" s="2" t="s">
        <v>103</v>
      </c>
      <c r="C143" s="9">
        <f>SUM(C142)</f>
        <v>223146580.97999999</v>
      </c>
      <c r="E143" s="9">
        <f>SUM(E142)</f>
        <v>100924415.19</v>
      </c>
      <c r="G143" s="9">
        <f>SUM(G142)</f>
        <v>17235106.379999999</v>
      </c>
      <c r="H143" s="9">
        <f t="shared" ref="H143:K143" si="28">SUM(H142)</f>
        <v>17235106.379999999</v>
      </c>
      <c r="I143" s="9">
        <f t="shared" si="28"/>
        <v>17235106.379999999</v>
      </c>
      <c r="J143" s="9">
        <f t="shared" si="28"/>
        <v>17235106.379999999</v>
      </c>
      <c r="K143" s="9">
        <f t="shared" si="28"/>
        <v>17235106.379999999</v>
      </c>
      <c r="L143" s="9">
        <f>SUM(L142)</f>
        <v>17235106.379999999</v>
      </c>
      <c r="M143" s="9">
        <f>SUM(M142)</f>
        <v>17235106.379999999</v>
      </c>
      <c r="N143" s="9">
        <f>SUM(N142)</f>
        <v>17235106.379999999</v>
      </c>
      <c r="O143" s="9">
        <f t="shared" ref="O143:R143" si="29">SUM(O142)</f>
        <v>17235106.379999999</v>
      </c>
      <c r="P143" s="9">
        <f t="shared" si="29"/>
        <v>17297940.420000002</v>
      </c>
      <c r="Q143" s="9">
        <f t="shared" si="29"/>
        <v>17297940.420000002</v>
      </c>
      <c r="R143" s="9">
        <f t="shared" si="29"/>
        <v>33434742.719999999</v>
      </c>
      <c r="S143" s="5"/>
      <c r="T143" s="58"/>
      <c r="U143" s="58"/>
      <c r="V143" s="58"/>
      <c r="W143" s="58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1:36" ht="19.5" customHeight="1" thickTop="1" x14ac:dyDescent="0.25">
      <c r="C144" s="3">
        <f>+C143-E143</f>
        <v>122222165.78999999</v>
      </c>
    </row>
    <row r="145" spans="1:36" ht="18.75" customHeight="1" x14ac:dyDescent="0.25">
      <c r="C145" s="59">
        <f>+C144/E143</f>
        <v>1.2110267427351935</v>
      </c>
    </row>
    <row r="146" spans="1:36" x14ac:dyDescent="0.25">
      <c r="A146" s="37" t="s">
        <v>104</v>
      </c>
      <c r="B146" s="38"/>
      <c r="C146" s="39"/>
      <c r="D146" s="38"/>
      <c r="E146" s="39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36" x14ac:dyDescent="0.25">
      <c r="A147" s="2"/>
      <c r="C147" s="2"/>
    </row>
    <row r="148" spans="1:36" x14ac:dyDescent="0.25">
      <c r="A148" s="4" t="s">
        <v>12</v>
      </c>
      <c r="C148" s="5">
        <v>2020</v>
      </c>
      <c r="D148" s="6"/>
      <c r="E148" s="5">
        <v>2019</v>
      </c>
      <c r="G148" s="42" t="s">
        <v>176</v>
      </c>
      <c r="H148" s="42" t="s">
        <v>177</v>
      </c>
      <c r="I148" s="42" t="s">
        <v>178</v>
      </c>
      <c r="J148" s="42" t="s">
        <v>179</v>
      </c>
      <c r="K148" s="42" t="s">
        <v>180</v>
      </c>
      <c r="L148" s="42" t="s">
        <v>181</v>
      </c>
      <c r="M148" s="42" t="s">
        <v>240</v>
      </c>
      <c r="N148" s="42" t="s">
        <v>241</v>
      </c>
      <c r="O148" s="42" t="s">
        <v>265</v>
      </c>
      <c r="P148" s="42" t="s">
        <v>266</v>
      </c>
      <c r="Q148" s="42" t="s">
        <v>267</v>
      </c>
      <c r="R148" s="42" t="s">
        <v>268</v>
      </c>
    </row>
    <row r="149" spans="1:36" ht="30" x14ac:dyDescent="0.25">
      <c r="A149" s="7" t="s">
        <v>105</v>
      </c>
      <c r="C149" s="3">
        <f>+C163</f>
        <v>195943795.47999999</v>
      </c>
      <c r="E149" s="3">
        <f>+E163</f>
        <v>87593068.879999995</v>
      </c>
      <c r="G149" s="3">
        <f>+G163</f>
        <v>15450258.669999998</v>
      </c>
      <c r="H149" s="3">
        <f t="shared" ref="H149:M149" si="30">+H163</f>
        <v>15805643.779999999</v>
      </c>
      <c r="I149" s="3">
        <f t="shared" si="30"/>
        <v>15232980.58</v>
      </c>
      <c r="J149" s="3">
        <f t="shared" si="30"/>
        <v>16345911.969999999</v>
      </c>
      <c r="K149" s="3">
        <f t="shared" si="30"/>
        <v>16139304.42</v>
      </c>
      <c r="L149" s="3">
        <f t="shared" si="30"/>
        <v>15800995.669999998</v>
      </c>
      <c r="M149" s="3">
        <f t="shared" si="30"/>
        <v>15947189.059999999</v>
      </c>
      <c r="N149" s="3">
        <f t="shared" ref="N149" si="31">+N163</f>
        <v>15523431.199999999</v>
      </c>
      <c r="O149" s="3">
        <f>+O163</f>
        <v>16320314.529999999</v>
      </c>
      <c r="P149" s="3">
        <f>+P163</f>
        <v>17649804.289999999</v>
      </c>
      <c r="Q149" s="3">
        <f>+Q163</f>
        <v>15414511.65</v>
      </c>
      <c r="R149" s="3">
        <f>+R163</f>
        <v>20313449.66</v>
      </c>
    </row>
    <row r="150" spans="1:36" x14ac:dyDescent="0.25">
      <c r="A150" s="7" t="s">
        <v>106</v>
      </c>
      <c r="C150" s="3">
        <f>R150</f>
        <v>15541186.67</v>
      </c>
      <c r="E150" s="3">
        <v>7837.08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15541186.67</v>
      </c>
      <c r="S150" s="56">
        <v>2</v>
      </c>
      <c r="T150" s="57">
        <v>1</v>
      </c>
      <c r="U150" s="57">
        <v>1</v>
      </c>
      <c r="V150" s="57">
        <v>4</v>
      </c>
      <c r="W150" s="57" t="s">
        <v>185</v>
      </c>
    </row>
    <row r="151" spans="1:36" x14ac:dyDescent="0.25">
      <c r="A151" s="7" t="s">
        <v>107</v>
      </c>
      <c r="C151" s="3">
        <f>+C172</f>
        <v>1635834.8900000001</v>
      </c>
      <c r="E151" s="3">
        <f>+E172</f>
        <v>0</v>
      </c>
      <c r="G151" s="3">
        <f>+G172</f>
        <v>0</v>
      </c>
      <c r="H151" s="3">
        <f t="shared" ref="H151:L151" si="32">+H172</f>
        <v>17479.189999999999</v>
      </c>
      <c r="I151" s="3">
        <f t="shared" si="32"/>
        <v>204502.57</v>
      </c>
      <c r="J151" s="3">
        <f t="shared" si="32"/>
        <v>0</v>
      </c>
      <c r="K151" s="3">
        <f t="shared" si="32"/>
        <v>0</v>
      </c>
      <c r="L151" s="3">
        <f t="shared" si="32"/>
        <v>183753.75</v>
      </c>
      <c r="M151" s="3">
        <f t="shared" ref="M151:N151" si="33">+M172</f>
        <v>85279.19</v>
      </c>
      <c r="N151" s="3">
        <f t="shared" si="33"/>
        <v>0</v>
      </c>
      <c r="O151" s="3">
        <v>0</v>
      </c>
      <c r="P151" s="3">
        <v>0</v>
      </c>
      <c r="R151" s="3">
        <f>R172</f>
        <v>644843.09</v>
      </c>
    </row>
    <row r="152" spans="1:36" x14ac:dyDescent="0.25">
      <c r="A152" s="7" t="s">
        <v>108</v>
      </c>
      <c r="C152" s="3">
        <f>+C182</f>
        <v>73671658.329999998</v>
      </c>
      <c r="E152" s="3">
        <f>+E182</f>
        <v>48090090.939999998</v>
      </c>
      <c r="G152" s="3">
        <f>+G182</f>
        <v>12059185.539999999</v>
      </c>
      <c r="H152" s="3">
        <f t="shared" ref="H152:L152" si="34">+H182</f>
        <v>9494930.6999999993</v>
      </c>
      <c r="I152" s="3">
        <f t="shared" si="34"/>
        <v>2101581.67</v>
      </c>
      <c r="J152" s="3">
        <f t="shared" si="34"/>
        <v>20901578.989999998</v>
      </c>
      <c r="K152" s="3">
        <f t="shared" si="34"/>
        <v>415416.25</v>
      </c>
      <c r="L152" s="3">
        <f t="shared" si="34"/>
        <v>8617353.7400000002</v>
      </c>
      <c r="M152" s="3">
        <f t="shared" ref="M152:N152" si="35">+M182</f>
        <v>13372477.110000001</v>
      </c>
      <c r="N152" s="3">
        <f t="shared" si="35"/>
        <v>410283.43</v>
      </c>
      <c r="O152" s="3">
        <f>+O182</f>
        <v>2381022.75</v>
      </c>
      <c r="P152" s="3">
        <f>P182</f>
        <v>372854</v>
      </c>
      <c r="Q152" s="3">
        <f>+Q182</f>
        <v>3532974.15</v>
      </c>
      <c r="R152" s="3">
        <f>+R182</f>
        <v>211239</v>
      </c>
    </row>
    <row r="153" spans="1:36" x14ac:dyDescent="0.25">
      <c r="A153" s="7" t="s">
        <v>109</v>
      </c>
      <c r="C153" s="3">
        <f>SUM(G153:L153)</f>
        <v>0</v>
      </c>
      <c r="E153" s="3">
        <v>25000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R153" s="3">
        <v>0</v>
      </c>
      <c r="S153" s="56">
        <v>2</v>
      </c>
      <c r="T153" s="57">
        <v>1</v>
      </c>
      <c r="U153" s="57">
        <v>4</v>
      </c>
      <c r="V153" s="57">
        <v>2</v>
      </c>
      <c r="W153" s="57" t="s">
        <v>186</v>
      </c>
    </row>
    <row r="154" spans="1:36" ht="30" x14ac:dyDescent="0.25">
      <c r="A154" s="7" t="s">
        <v>110</v>
      </c>
      <c r="C154" s="3">
        <f>+C191</f>
        <v>28387218.299999997</v>
      </c>
      <c r="D154" s="1" t="s">
        <v>279</v>
      </c>
      <c r="E154" s="3">
        <f>+E191</f>
        <v>13305909.57</v>
      </c>
      <c r="G154" s="3">
        <f>+G191</f>
        <v>2337504.34</v>
      </c>
      <c r="H154" s="3">
        <f t="shared" ref="H154:M154" si="36">+H191</f>
        <v>2322395.3199999998</v>
      </c>
      <c r="I154" s="3">
        <f t="shared" si="36"/>
        <v>2322395.3199999998</v>
      </c>
      <c r="J154" s="3">
        <f t="shared" si="36"/>
        <v>2327629.25</v>
      </c>
      <c r="K154" s="3">
        <f t="shared" si="36"/>
        <v>2321877.5699999998</v>
      </c>
      <c r="L154" s="3">
        <f t="shared" si="36"/>
        <v>2367018.7399999998</v>
      </c>
      <c r="M154" s="3">
        <f t="shared" si="36"/>
        <v>2369087.4600000004</v>
      </c>
      <c r="N154" s="3">
        <f t="shared" ref="N154" si="37">+N191</f>
        <v>2376513.7200000002</v>
      </c>
      <c r="O154" s="3">
        <f>O191</f>
        <v>2409321.9499999997</v>
      </c>
      <c r="P154" s="3">
        <f>+P191</f>
        <v>2337280.2399999998</v>
      </c>
      <c r="Q154" s="3">
        <f>+Q191</f>
        <v>2343101.89</v>
      </c>
      <c r="R154" s="3">
        <f>+R191</f>
        <v>2553092.5</v>
      </c>
    </row>
    <row r="155" spans="1:36" s="6" customFormat="1" ht="15.75" thickBot="1" x14ac:dyDescent="0.3">
      <c r="A155" s="13" t="s">
        <v>111</v>
      </c>
      <c r="C155" s="9">
        <f>SUM(C149:C154)</f>
        <v>315179693.66999996</v>
      </c>
      <c r="D155" s="6" t="s">
        <v>251</v>
      </c>
      <c r="E155" s="9">
        <f>SUM(E149:E154)</f>
        <v>149021906.46999997</v>
      </c>
      <c r="G155" s="9">
        <f>SUM(G149:G154)</f>
        <v>29846948.549999997</v>
      </c>
      <c r="H155" s="9">
        <f t="shared" ref="H155:R155" si="38">SUM(H149:H154)</f>
        <v>27640448.989999998</v>
      </c>
      <c r="I155" s="9">
        <f t="shared" si="38"/>
        <v>19861460.140000001</v>
      </c>
      <c r="J155" s="9">
        <f t="shared" si="38"/>
        <v>39575120.209999993</v>
      </c>
      <c r="K155" s="9">
        <f t="shared" si="38"/>
        <v>18876598.239999998</v>
      </c>
      <c r="L155" s="9">
        <f t="shared" si="38"/>
        <v>26969121.899999995</v>
      </c>
      <c r="M155" s="9">
        <f t="shared" si="38"/>
        <v>31774032.82</v>
      </c>
      <c r="N155" s="9">
        <f t="shared" si="38"/>
        <v>18310228.349999998</v>
      </c>
      <c r="O155" s="9">
        <f t="shared" si="38"/>
        <v>21110659.23</v>
      </c>
      <c r="P155" s="9">
        <f t="shared" si="38"/>
        <v>20359938.529999997</v>
      </c>
      <c r="Q155" s="9">
        <f t="shared" si="38"/>
        <v>21290587.690000001</v>
      </c>
      <c r="R155" s="9">
        <f t="shared" si="38"/>
        <v>39263810.920000002</v>
      </c>
      <c r="S155" s="5"/>
      <c r="T155" s="58"/>
      <c r="U155" s="58"/>
      <c r="V155" s="58"/>
      <c r="W155" s="58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</row>
    <row r="156" spans="1:36" ht="16.5" customHeight="1" thickTop="1" x14ac:dyDescent="0.25">
      <c r="C156" s="3">
        <f>+C155-E155</f>
        <v>166157787.19999999</v>
      </c>
    </row>
    <row r="157" spans="1:36" ht="15" customHeight="1" x14ac:dyDescent="0.25">
      <c r="C157" s="59">
        <f>+C156/E155</f>
        <v>1.1149890048779485</v>
      </c>
    </row>
    <row r="158" spans="1:36" x14ac:dyDescent="0.25">
      <c r="A158" s="37" t="s">
        <v>112</v>
      </c>
      <c r="B158" s="38"/>
      <c r="C158" s="39"/>
      <c r="D158" s="38"/>
      <c r="E158" s="39"/>
      <c r="F158" s="3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36" x14ac:dyDescent="0.25">
      <c r="A159" s="2"/>
      <c r="C159" s="3" t="s">
        <v>251</v>
      </c>
    </row>
    <row r="160" spans="1:36" x14ac:dyDescent="0.25">
      <c r="A160" s="4" t="s">
        <v>12</v>
      </c>
      <c r="C160" s="5">
        <v>2020</v>
      </c>
      <c r="D160" s="6"/>
      <c r="E160" s="5">
        <v>2019</v>
      </c>
      <c r="G160" s="42" t="s">
        <v>176</v>
      </c>
      <c r="H160" s="42" t="s">
        <v>177</v>
      </c>
      <c r="I160" s="42" t="s">
        <v>178</v>
      </c>
      <c r="J160" s="42" t="s">
        <v>179</v>
      </c>
      <c r="K160" s="42" t="s">
        <v>180</v>
      </c>
      <c r="L160" s="42" t="s">
        <v>181</v>
      </c>
      <c r="M160" s="42" t="s">
        <v>240</v>
      </c>
      <c r="N160" s="42" t="s">
        <v>241</v>
      </c>
      <c r="O160" s="42" t="s">
        <v>265</v>
      </c>
      <c r="P160" s="42" t="s">
        <v>266</v>
      </c>
      <c r="Q160" s="42" t="s">
        <v>267</v>
      </c>
      <c r="R160" s="42" t="s">
        <v>268</v>
      </c>
    </row>
    <row r="161" spans="1:36" ht="30" x14ac:dyDescent="0.25">
      <c r="A161" s="7" t="s">
        <v>113</v>
      </c>
      <c r="C161" s="3">
        <f>SUM(G161:R161)</f>
        <v>195088873.53</v>
      </c>
      <c r="E161" s="3">
        <v>87024976</v>
      </c>
      <c r="G161" s="3">
        <v>15341858.319999998</v>
      </c>
      <c r="H161" s="3">
        <v>15738276.77</v>
      </c>
      <c r="I161" s="3">
        <v>15219697.92</v>
      </c>
      <c r="J161" s="3">
        <v>15853996.379999999</v>
      </c>
      <c r="K161" s="3">
        <v>16128611.82</v>
      </c>
      <c r="L161" s="3">
        <v>15757662.469999999</v>
      </c>
      <c r="M161" s="3">
        <v>15947189.059999999</v>
      </c>
      <c r="N161" s="3">
        <f>15523431.2-50231.68</f>
        <v>15473199.52</v>
      </c>
      <c r="O161" s="3">
        <v>16320314.529999999</v>
      </c>
      <c r="P161" s="3">
        <v>17649804.289999999</v>
      </c>
      <c r="Q161" s="3">
        <v>15414511.65</v>
      </c>
      <c r="R161" s="3">
        <v>20243750.800000001</v>
      </c>
      <c r="S161" s="56">
        <v>2</v>
      </c>
      <c r="T161" s="57">
        <v>1</v>
      </c>
      <c r="U161" s="57">
        <v>1</v>
      </c>
      <c r="V161" s="57">
        <v>2</v>
      </c>
      <c r="W161" s="57" t="s">
        <v>185</v>
      </c>
    </row>
    <row r="162" spans="1:36" x14ac:dyDescent="0.25">
      <c r="A162" s="7" t="s">
        <v>114</v>
      </c>
      <c r="C162" s="3">
        <f>SUM(G162:R162)</f>
        <v>854921.95</v>
      </c>
      <c r="E162" s="3">
        <v>568092.88</v>
      </c>
      <c r="G162" s="3">
        <v>108400.35</v>
      </c>
      <c r="H162" s="3">
        <v>67367.009999999995</v>
      </c>
      <c r="I162" s="3">
        <v>13282.66</v>
      </c>
      <c r="J162" s="3">
        <v>491915.58999999997</v>
      </c>
      <c r="K162" s="3">
        <v>10692.6</v>
      </c>
      <c r="L162" s="3">
        <v>43333.2</v>
      </c>
      <c r="M162" s="3">
        <v>0</v>
      </c>
      <c r="N162" s="3">
        <v>50231.68</v>
      </c>
      <c r="O162" s="3">
        <v>0</v>
      </c>
      <c r="R162" s="3">
        <v>69698.86</v>
      </c>
      <c r="S162" s="56">
        <v>2</v>
      </c>
      <c r="T162" s="57">
        <v>1</v>
      </c>
      <c r="U162" s="57">
        <v>1</v>
      </c>
      <c r="V162" s="57">
        <v>2</v>
      </c>
      <c r="W162" s="57" t="s">
        <v>183</v>
      </c>
    </row>
    <row r="163" spans="1:36" s="6" customFormat="1" ht="30.75" thickBot="1" x14ac:dyDescent="0.3">
      <c r="A163" s="2" t="s">
        <v>115</v>
      </c>
      <c r="C163" s="9">
        <f>SUM(C161:C162)</f>
        <v>195943795.47999999</v>
      </c>
      <c r="E163" s="9">
        <f>SUM(E161:E162)</f>
        <v>87593068.879999995</v>
      </c>
      <c r="G163" s="9">
        <f>SUM(G161:G162)</f>
        <v>15450258.669999998</v>
      </c>
      <c r="H163" s="9">
        <f t="shared" ref="H163:R163" si="39">SUM(H161:H162)</f>
        <v>15805643.779999999</v>
      </c>
      <c r="I163" s="9">
        <f t="shared" si="39"/>
        <v>15232980.58</v>
      </c>
      <c r="J163" s="9">
        <f t="shared" si="39"/>
        <v>16345911.969999999</v>
      </c>
      <c r="K163" s="9">
        <f t="shared" si="39"/>
        <v>16139304.42</v>
      </c>
      <c r="L163" s="9">
        <f t="shared" si="39"/>
        <v>15800995.669999998</v>
      </c>
      <c r="M163" s="9">
        <f t="shared" si="39"/>
        <v>15947189.059999999</v>
      </c>
      <c r="N163" s="9">
        <f t="shared" si="39"/>
        <v>15523431.199999999</v>
      </c>
      <c r="O163" s="9">
        <f t="shared" si="39"/>
        <v>16320314.529999999</v>
      </c>
      <c r="P163" s="9">
        <f t="shared" si="39"/>
        <v>17649804.289999999</v>
      </c>
      <c r="Q163" s="9">
        <f t="shared" si="39"/>
        <v>15414511.65</v>
      </c>
      <c r="R163" s="9">
        <f t="shared" si="39"/>
        <v>20313449.66</v>
      </c>
      <c r="S163" s="5"/>
      <c r="T163" s="58"/>
      <c r="U163" s="58"/>
      <c r="V163" s="58"/>
      <c r="W163" s="58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spans="1:36" ht="27.75" customHeight="1" thickTop="1" x14ac:dyDescent="0.25">
      <c r="C164" s="3">
        <f>+C163-E163</f>
        <v>108350726.59999999</v>
      </c>
    </row>
    <row r="165" spans="1:36" ht="18.75" customHeight="1" x14ac:dyDescent="0.25">
      <c r="C165" s="59">
        <f>+C164/E163</f>
        <v>1.2369783133005352</v>
      </c>
    </row>
    <row r="166" spans="1:36" x14ac:dyDescent="0.25">
      <c r="A166" s="37" t="s">
        <v>116</v>
      </c>
      <c r="B166" s="38"/>
      <c r="C166" s="39"/>
      <c r="D166" s="38"/>
      <c r="E166" s="39"/>
      <c r="F166" s="38"/>
      <c r="G166" s="39"/>
      <c r="H166" s="39"/>
      <c r="I166" s="39"/>
      <c r="J166" s="39"/>
      <c r="K166" s="39"/>
      <c r="L166" s="39"/>
      <c r="M166" s="39"/>
      <c r="N166" s="39" t="s">
        <v>251</v>
      </c>
      <c r="O166" s="39"/>
      <c r="P166" s="39"/>
      <c r="Q166" s="39"/>
      <c r="R166" s="39"/>
    </row>
    <row r="167" spans="1:36" x14ac:dyDescent="0.25">
      <c r="A167" s="2"/>
    </row>
    <row r="168" spans="1:36" x14ac:dyDescent="0.25">
      <c r="A168" s="4" t="s">
        <v>12</v>
      </c>
      <c r="C168" s="5">
        <v>2020</v>
      </c>
      <c r="D168" s="6"/>
      <c r="E168" s="5">
        <v>2019</v>
      </c>
      <c r="G168" s="42" t="s">
        <v>176</v>
      </c>
      <c r="H168" s="42" t="s">
        <v>177</v>
      </c>
      <c r="I168" s="42" t="s">
        <v>178</v>
      </c>
      <c r="J168" s="42" t="s">
        <v>179</v>
      </c>
      <c r="K168" s="42" t="s">
        <v>180</v>
      </c>
      <c r="L168" s="42" t="s">
        <v>181</v>
      </c>
      <c r="M168" s="42" t="s">
        <v>240</v>
      </c>
      <c r="N168" s="42" t="s">
        <v>241</v>
      </c>
      <c r="O168" s="42" t="s">
        <v>265</v>
      </c>
      <c r="P168" s="42" t="s">
        <v>266</v>
      </c>
      <c r="Q168" s="42" t="s">
        <v>267</v>
      </c>
      <c r="R168" s="42" t="s">
        <v>268</v>
      </c>
    </row>
    <row r="169" spans="1:36" x14ac:dyDescent="0.25">
      <c r="A169" s="115" t="s">
        <v>274</v>
      </c>
      <c r="C169" s="53">
        <f>SUM(G169:R169)</f>
        <v>483329.48</v>
      </c>
      <c r="D169" s="6"/>
      <c r="E169" s="5"/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116">
        <v>483329.48</v>
      </c>
      <c r="S169" s="56" t="s">
        <v>275</v>
      </c>
      <c r="T169" s="57" t="s">
        <v>276</v>
      </c>
      <c r="U169" s="57" t="s">
        <v>276</v>
      </c>
      <c r="V169" s="57" t="s">
        <v>277</v>
      </c>
      <c r="W169" s="57" t="s">
        <v>185</v>
      </c>
    </row>
    <row r="170" spans="1:36" x14ac:dyDescent="0.25">
      <c r="A170" s="7" t="s">
        <v>117</v>
      </c>
      <c r="C170" s="53">
        <f>SUM(G170:R170)</f>
        <v>322634</v>
      </c>
      <c r="E170" s="36">
        <v>0</v>
      </c>
      <c r="G170" s="36">
        <v>0</v>
      </c>
      <c r="H170" s="36">
        <v>0</v>
      </c>
      <c r="I170" s="53">
        <v>179634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53">
        <v>143000</v>
      </c>
      <c r="P170" s="36">
        <v>0</v>
      </c>
      <c r="Q170" s="36">
        <v>0</v>
      </c>
      <c r="R170" s="36">
        <v>0</v>
      </c>
      <c r="S170" s="56">
        <v>2</v>
      </c>
      <c r="T170" s="57">
        <v>1</v>
      </c>
      <c r="U170" s="57">
        <v>1</v>
      </c>
      <c r="V170" s="57">
        <v>5</v>
      </c>
      <c r="W170" s="57" t="s">
        <v>183</v>
      </c>
    </row>
    <row r="171" spans="1:36" s="6" customFormat="1" ht="30" x14ac:dyDescent="0.25">
      <c r="A171" s="7" t="s">
        <v>118</v>
      </c>
      <c r="B171" s="1"/>
      <c r="C171" s="53">
        <f>SUM(G171:R171)</f>
        <v>829871.41</v>
      </c>
      <c r="D171" s="1"/>
      <c r="E171" s="36">
        <v>0</v>
      </c>
      <c r="F171" s="1"/>
      <c r="G171" s="36">
        <v>0</v>
      </c>
      <c r="H171" s="53">
        <v>17479.189999999999</v>
      </c>
      <c r="I171" s="53">
        <v>24868.57</v>
      </c>
      <c r="J171" s="36">
        <v>0</v>
      </c>
      <c r="K171" s="36">
        <v>0</v>
      </c>
      <c r="L171" s="53">
        <v>183753.75</v>
      </c>
      <c r="M171" s="53">
        <v>85279.19</v>
      </c>
      <c r="N171" s="36">
        <v>0</v>
      </c>
      <c r="O171" s="53">
        <v>57383.47</v>
      </c>
      <c r="P171" s="53">
        <v>299593.63</v>
      </c>
      <c r="Q171" s="36">
        <v>0</v>
      </c>
      <c r="R171" s="53">
        <v>161513.60999999999</v>
      </c>
      <c r="S171" s="56">
        <v>2</v>
      </c>
      <c r="T171" s="57">
        <v>1</v>
      </c>
      <c r="U171" s="57">
        <v>1</v>
      </c>
      <c r="V171" s="57">
        <v>5</v>
      </c>
      <c r="W171" s="57" t="s">
        <v>184</v>
      </c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</row>
    <row r="172" spans="1:36" ht="15.75" thickBot="1" x14ac:dyDescent="0.3">
      <c r="A172" s="2" t="s">
        <v>119</v>
      </c>
      <c r="B172" s="6"/>
      <c r="C172" s="9">
        <f>SUM(C169:C171)</f>
        <v>1635834.8900000001</v>
      </c>
      <c r="D172" s="6"/>
      <c r="E172" s="9">
        <f>SUM(E170:E171)</f>
        <v>0</v>
      </c>
      <c r="F172" s="6"/>
      <c r="G172" s="55">
        <f>SUM(G169:G171)</f>
        <v>0</v>
      </c>
      <c r="H172" s="55">
        <f t="shared" ref="H172:R172" si="40">SUM(H169:H171)</f>
        <v>17479.189999999999</v>
      </c>
      <c r="I172" s="55">
        <f t="shared" si="40"/>
        <v>204502.57</v>
      </c>
      <c r="J172" s="55">
        <f t="shared" si="40"/>
        <v>0</v>
      </c>
      <c r="K172" s="55">
        <f t="shared" si="40"/>
        <v>0</v>
      </c>
      <c r="L172" s="55">
        <f t="shared" si="40"/>
        <v>183753.75</v>
      </c>
      <c r="M172" s="55">
        <f t="shared" si="40"/>
        <v>85279.19</v>
      </c>
      <c r="N172" s="55">
        <f t="shared" si="40"/>
        <v>0</v>
      </c>
      <c r="O172" s="55">
        <f t="shared" si="40"/>
        <v>200383.47</v>
      </c>
      <c r="P172" s="55">
        <f t="shared" si="40"/>
        <v>299593.63</v>
      </c>
      <c r="Q172" s="55">
        <f t="shared" si="40"/>
        <v>0</v>
      </c>
      <c r="R172" s="55">
        <f t="shared" si="40"/>
        <v>644843.09</v>
      </c>
      <c r="S172" s="5"/>
      <c r="T172" s="58"/>
      <c r="U172" s="58"/>
      <c r="V172" s="58"/>
      <c r="W172" s="58"/>
    </row>
    <row r="173" spans="1:36" ht="15.75" thickTop="1" x14ac:dyDescent="0.25">
      <c r="C173" s="3">
        <f>+C172-E172</f>
        <v>1635834.8900000001</v>
      </c>
    </row>
    <row r="174" spans="1:36" x14ac:dyDescent="0.25">
      <c r="C174" s="59" t="e">
        <f>+C173/E172</f>
        <v>#DIV/0!</v>
      </c>
    </row>
    <row r="175" spans="1:36" x14ac:dyDescent="0.25">
      <c r="A175" s="37" t="s">
        <v>120</v>
      </c>
      <c r="B175" s="38"/>
      <c r="C175" s="39"/>
      <c r="D175" s="38"/>
      <c r="E175" s="39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36" x14ac:dyDescent="0.25">
      <c r="A176" s="2"/>
    </row>
    <row r="177" spans="1:36" x14ac:dyDescent="0.25">
      <c r="A177" s="4" t="s">
        <v>12</v>
      </c>
      <c r="C177" s="5">
        <v>2020</v>
      </c>
      <c r="D177" s="6"/>
      <c r="E177" s="5">
        <v>2019</v>
      </c>
      <c r="G177" s="42" t="s">
        <v>176</v>
      </c>
      <c r="H177" s="42" t="s">
        <v>177</v>
      </c>
      <c r="I177" s="42" t="s">
        <v>178</v>
      </c>
      <c r="J177" s="42" t="s">
        <v>179</v>
      </c>
      <c r="K177" s="42" t="s">
        <v>180</v>
      </c>
      <c r="L177" s="42" t="s">
        <v>181</v>
      </c>
      <c r="M177" s="42" t="s">
        <v>240</v>
      </c>
      <c r="N177" s="42" t="s">
        <v>241</v>
      </c>
      <c r="O177" s="42" t="s">
        <v>265</v>
      </c>
      <c r="P177" s="42" t="s">
        <v>266</v>
      </c>
      <c r="Q177" s="42" t="s">
        <v>267</v>
      </c>
      <c r="R177" s="42" t="s">
        <v>268</v>
      </c>
    </row>
    <row r="178" spans="1:36" ht="30" x14ac:dyDescent="0.25">
      <c r="A178" s="7" t="s">
        <v>121</v>
      </c>
      <c r="C178" s="3">
        <f>SUM(G178:R178)</f>
        <v>0</v>
      </c>
      <c r="E178" s="36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S178" s="56">
        <v>2</v>
      </c>
      <c r="T178" s="57">
        <v>1</v>
      </c>
      <c r="U178" s="57">
        <v>2</v>
      </c>
      <c r="V178" s="57">
        <v>2</v>
      </c>
      <c r="W178" s="57" t="s">
        <v>186</v>
      </c>
    </row>
    <row r="179" spans="1:36" ht="18" customHeight="1" x14ac:dyDescent="0.25">
      <c r="A179" s="7" t="s">
        <v>122</v>
      </c>
      <c r="C179" s="3">
        <f>SUM(G179:R179)</f>
        <v>3894894</v>
      </c>
      <c r="E179" s="3">
        <v>2071326.51</v>
      </c>
      <c r="G179" s="3">
        <v>349854</v>
      </c>
      <c r="H179" s="3">
        <v>349854</v>
      </c>
      <c r="I179" s="3">
        <v>349354</v>
      </c>
      <c r="J179" s="3">
        <v>349354</v>
      </c>
      <c r="K179" s="3">
        <v>362354</v>
      </c>
      <c r="L179" s="3">
        <v>349354</v>
      </c>
      <c r="M179" s="3">
        <v>349354</v>
      </c>
      <c r="N179" s="3">
        <v>349354</v>
      </c>
      <c r="O179" s="3">
        <v>349354</v>
      </c>
      <c r="P179" s="3">
        <v>352854</v>
      </c>
      <c r="Q179" s="3">
        <v>371854</v>
      </c>
      <c r="R179" s="3">
        <v>12000</v>
      </c>
      <c r="S179" s="56">
        <v>2</v>
      </c>
      <c r="T179" s="57">
        <v>1</v>
      </c>
      <c r="U179" s="57">
        <v>2</v>
      </c>
      <c r="V179" s="57">
        <v>2</v>
      </c>
      <c r="W179" s="57" t="s">
        <v>187</v>
      </c>
    </row>
    <row r="180" spans="1:36" s="6" customFormat="1" x14ac:dyDescent="0.25">
      <c r="A180" s="7" t="s">
        <v>123</v>
      </c>
      <c r="B180" s="1"/>
      <c r="C180" s="3">
        <f>SUM(G180:R180)</f>
        <v>69776764.329999998</v>
      </c>
      <c r="D180" s="1"/>
      <c r="E180" s="3"/>
      <c r="F180" s="1"/>
      <c r="G180" s="3">
        <v>11709331.539999999</v>
      </c>
      <c r="H180" s="3">
        <v>9145076.6999999993</v>
      </c>
      <c r="I180" s="3">
        <v>1752227.67</v>
      </c>
      <c r="J180" s="3">
        <v>20552224.989999998</v>
      </c>
      <c r="K180" s="3">
        <v>53062.25</v>
      </c>
      <c r="L180" s="3">
        <v>8267999.7400000002</v>
      </c>
      <c r="M180" s="3">
        <v>13023123.110000001</v>
      </c>
      <c r="N180" s="3">
        <v>60929.43</v>
      </c>
      <c r="O180" s="3">
        <v>2031668.75</v>
      </c>
      <c r="P180" s="3">
        <v>20000</v>
      </c>
      <c r="Q180" s="3">
        <v>3161120.15</v>
      </c>
      <c r="R180" s="3">
        <v>0</v>
      </c>
      <c r="S180" s="56">
        <v>2</v>
      </c>
      <c r="T180" s="57">
        <v>1</v>
      </c>
      <c r="U180" s="57">
        <v>2</v>
      </c>
      <c r="V180" s="57">
        <v>2</v>
      </c>
      <c r="W180" s="57" t="s">
        <v>188</v>
      </c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1:36" ht="18" customHeight="1" x14ac:dyDescent="0.25">
      <c r="A181" s="7" t="s">
        <v>272</v>
      </c>
      <c r="C181" s="3">
        <f>SUM(G181:N181)</f>
        <v>0</v>
      </c>
      <c r="E181" s="3">
        <v>46018764.43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199239</v>
      </c>
      <c r="S181" s="56">
        <v>2</v>
      </c>
      <c r="T181" s="57">
        <v>1</v>
      </c>
      <c r="U181" s="57">
        <v>2</v>
      </c>
      <c r="V181" s="57">
        <v>2</v>
      </c>
      <c r="W181" s="57" t="s">
        <v>273</v>
      </c>
    </row>
    <row r="182" spans="1:36" ht="15.75" thickBot="1" x14ac:dyDescent="0.3">
      <c r="A182" s="2" t="s">
        <v>124</v>
      </c>
      <c r="B182" s="6"/>
      <c r="C182" s="9">
        <f>SUM(C178:C181)</f>
        <v>73671658.329999998</v>
      </c>
      <c r="D182" s="6"/>
      <c r="E182" s="9">
        <f>SUM(E178:E181)</f>
        <v>48090090.939999998</v>
      </c>
      <c r="F182" s="6"/>
      <c r="G182" s="9">
        <f t="shared" ref="G182:R182" si="41">SUM(G178:G181)</f>
        <v>12059185.539999999</v>
      </c>
      <c r="H182" s="9">
        <f t="shared" si="41"/>
        <v>9494930.6999999993</v>
      </c>
      <c r="I182" s="9">
        <f t="shared" si="41"/>
        <v>2101581.67</v>
      </c>
      <c r="J182" s="9">
        <f t="shared" si="41"/>
        <v>20901578.989999998</v>
      </c>
      <c r="K182" s="9">
        <f t="shared" si="41"/>
        <v>415416.25</v>
      </c>
      <c r="L182" s="9">
        <f t="shared" si="41"/>
        <v>8617353.7400000002</v>
      </c>
      <c r="M182" s="9">
        <f t="shared" si="41"/>
        <v>13372477.110000001</v>
      </c>
      <c r="N182" s="9">
        <f t="shared" si="41"/>
        <v>410283.43</v>
      </c>
      <c r="O182" s="9">
        <f t="shared" si="41"/>
        <v>2381022.75</v>
      </c>
      <c r="P182" s="9">
        <f t="shared" si="41"/>
        <v>372854</v>
      </c>
      <c r="Q182" s="9">
        <f t="shared" si="41"/>
        <v>3532974.15</v>
      </c>
      <c r="R182" s="9">
        <f t="shared" si="41"/>
        <v>211239</v>
      </c>
      <c r="S182" s="5"/>
      <c r="T182" s="58"/>
      <c r="U182" s="58"/>
      <c r="V182" s="58"/>
      <c r="W182" s="58"/>
    </row>
    <row r="183" spans="1:36" ht="15.75" thickTop="1" x14ac:dyDescent="0.25">
      <c r="A183" s="7" t="s">
        <v>251</v>
      </c>
      <c r="C183" s="3">
        <f>+C182-E182</f>
        <v>25581567.390000001</v>
      </c>
    </row>
    <row r="184" spans="1:36" x14ac:dyDescent="0.25">
      <c r="C184" s="59">
        <f>+C183/E182</f>
        <v>0.53195090485308205</v>
      </c>
    </row>
    <row r="185" spans="1:36" x14ac:dyDescent="0.25">
      <c r="A185" s="37" t="s">
        <v>125</v>
      </c>
      <c r="B185" s="38"/>
      <c r="C185" s="39"/>
      <c r="D185" s="38"/>
      <c r="E185" s="39"/>
      <c r="F185" s="3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36" x14ac:dyDescent="0.25">
      <c r="A186" s="2"/>
    </row>
    <row r="187" spans="1:36" x14ac:dyDescent="0.25">
      <c r="A187" s="4" t="s">
        <v>12</v>
      </c>
      <c r="C187" s="5">
        <v>2020</v>
      </c>
      <c r="D187" s="6"/>
      <c r="E187" s="5">
        <v>2019</v>
      </c>
      <c r="G187" s="42" t="s">
        <v>176</v>
      </c>
      <c r="H187" s="42" t="s">
        <v>177</v>
      </c>
      <c r="I187" s="42" t="s">
        <v>178</v>
      </c>
      <c r="J187" s="42" t="s">
        <v>179</v>
      </c>
      <c r="K187" s="42" t="s">
        <v>180</v>
      </c>
      <c r="L187" s="42" t="s">
        <v>181</v>
      </c>
      <c r="M187" s="42" t="s">
        <v>240</v>
      </c>
      <c r="N187" s="42" t="s">
        <v>241</v>
      </c>
      <c r="O187" s="42" t="s">
        <v>265</v>
      </c>
      <c r="P187" s="42" t="s">
        <v>266</v>
      </c>
      <c r="Q187" s="42" t="s">
        <v>267</v>
      </c>
      <c r="R187" s="42" t="s">
        <v>268</v>
      </c>
    </row>
    <row r="188" spans="1:36" x14ac:dyDescent="0.25">
      <c r="A188" s="7" t="s">
        <v>126</v>
      </c>
      <c r="C188" s="3">
        <f>SUM(G188:R188)</f>
        <v>13097467.289999999</v>
      </c>
      <c r="E188" s="3">
        <v>6153826.8399999999</v>
      </c>
      <c r="G188" s="3">
        <v>1079178.44</v>
      </c>
      <c r="H188" s="3">
        <v>1072163.68</v>
      </c>
      <c r="I188" s="3">
        <v>1072163.68</v>
      </c>
      <c r="J188" s="3">
        <v>1066144.0899999999</v>
      </c>
      <c r="K188" s="3">
        <v>1071879.92</v>
      </c>
      <c r="L188" s="3">
        <v>1092675.96</v>
      </c>
      <c r="M188" s="3">
        <v>1093629</v>
      </c>
      <c r="N188" s="3">
        <v>1097050.2</v>
      </c>
      <c r="O188" s="3">
        <v>1113694.48</v>
      </c>
      <c r="P188" s="3">
        <v>1078669.93</v>
      </c>
      <c r="Q188" s="3">
        <v>1081532.81</v>
      </c>
      <c r="R188" s="3">
        <v>1178685.1000000001</v>
      </c>
      <c r="S188" s="56">
        <v>2</v>
      </c>
      <c r="T188" s="57">
        <v>1</v>
      </c>
      <c r="U188" s="57">
        <v>5</v>
      </c>
      <c r="V188" s="57">
        <v>1</v>
      </c>
      <c r="W188" s="57" t="s">
        <v>185</v>
      </c>
    </row>
    <row r="189" spans="1:36" s="6" customFormat="1" ht="30" x14ac:dyDescent="0.25">
      <c r="A189" s="7" t="s">
        <v>127</v>
      </c>
      <c r="B189" s="1"/>
      <c r="C189" s="3">
        <f t="shared" ref="C189:C190" si="42">SUM(G189:R189)</f>
        <v>13115078.039999999</v>
      </c>
      <c r="D189" s="1"/>
      <c r="E189" s="3">
        <v>6161779.3499999996</v>
      </c>
      <c r="F189" s="1"/>
      <c r="G189" s="3">
        <v>1080599.52</v>
      </c>
      <c r="H189" s="3">
        <v>1073675.51</v>
      </c>
      <c r="I189" s="3">
        <v>1073675.51</v>
      </c>
      <c r="J189" s="3">
        <v>1067647.42</v>
      </c>
      <c r="K189" s="3">
        <v>1073391.3400000001</v>
      </c>
      <c r="L189" s="3">
        <v>1094216.69</v>
      </c>
      <c r="M189" s="3">
        <v>1095171.07</v>
      </c>
      <c r="N189" s="3">
        <v>1098597.0900000001</v>
      </c>
      <c r="O189" s="3">
        <v>1114508.53</v>
      </c>
      <c r="P189" s="3">
        <v>1080190.8899999999</v>
      </c>
      <c r="Q189" s="3">
        <v>1083057.52</v>
      </c>
      <c r="R189" s="3">
        <v>1180346.95</v>
      </c>
      <c r="S189" s="56">
        <v>2</v>
      </c>
      <c r="T189" s="57">
        <v>1</v>
      </c>
      <c r="U189" s="57">
        <v>5</v>
      </c>
      <c r="V189" s="57">
        <v>2</v>
      </c>
      <c r="W189" s="57" t="s">
        <v>185</v>
      </c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:36" ht="30" x14ac:dyDescent="0.25">
      <c r="A190" s="7" t="s">
        <v>128</v>
      </c>
      <c r="C190" s="3">
        <f t="shared" si="42"/>
        <v>2174672.9699999997</v>
      </c>
      <c r="E190" s="3">
        <v>990303.38</v>
      </c>
      <c r="G190" s="3">
        <v>177726.38</v>
      </c>
      <c r="H190" s="3">
        <v>176556.13</v>
      </c>
      <c r="I190" s="3">
        <v>176556.13</v>
      </c>
      <c r="J190" s="3">
        <v>193837.74000000002</v>
      </c>
      <c r="K190" s="3">
        <v>176606.31</v>
      </c>
      <c r="L190" s="3">
        <v>180126.09</v>
      </c>
      <c r="M190" s="3">
        <v>180287.39</v>
      </c>
      <c r="N190" s="3">
        <v>180866.43</v>
      </c>
      <c r="O190" s="3">
        <v>181118.94</v>
      </c>
      <c r="P190" s="3">
        <v>178419.42</v>
      </c>
      <c r="Q190" s="3">
        <v>178511.56</v>
      </c>
      <c r="R190" s="3">
        <v>194060.45</v>
      </c>
      <c r="S190" s="56">
        <v>2</v>
      </c>
      <c r="T190" s="57">
        <v>1</v>
      </c>
      <c r="U190" s="57">
        <v>5</v>
      </c>
      <c r="V190" s="57">
        <v>3</v>
      </c>
      <c r="W190" s="57" t="s">
        <v>185</v>
      </c>
    </row>
    <row r="191" spans="1:36" ht="15.75" thickBot="1" x14ac:dyDescent="0.3">
      <c r="A191" s="2"/>
      <c r="B191" s="6"/>
      <c r="C191" s="9">
        <f>SUM(C188:C190)</f>
        <v>28387218.299999997</v>
      </c>
      <c r="D191" s="6"/>
      <c r="E191" s="9">
        <f>SUM(E188:E190)</f>
        <v>13305909.57</v>
      </c>
      <c r="F191" s="6"/>
      <c r="G191" s="9">
        <f t="shared" ref="G191:R191" si="43">SUM(G188:G190)</f>
        <v>2337504.34</v>
      </c>
      <c r="H191" s="9">
        <f t="shared" si="43"/>
        <v>2322395.3199999998</v>
      </c>
      <c r="I191" s="9">
        <f t="shared" si="43"/>
        <v>2322395.3199999998</v>
      </c>
      <c r="J191" s="9">
        <f t="shared" si="43"/>
        <v>2327629.25</v>
      </c>
      <c r="K191" s="9">
        <f t="shared" si="43"/>
        <v>2321877.5699999998</v>
      </c>
      <c r="L191" s="9">
        <f t="shared" si="43"/>
        <v>2367018.7399999998</v>
      </c>
      <c r="M191" s="9">
        <f t="shared" si="43"/>
        <v>2369087.4600000004</v>
      </c>
      <c r="N191" s="9">
        <f t="shared" si="43"/>
        <v>2376513.7200000002</v>
      </c>
      <c r="O191" s="9">
        <f t="shared" si="43"/>
        <v>2409321.9499999997</v>
      </c>
      <c r="P191" s="9">
        <f t="shared" si="43"/>
        <v>2337280.2399999998</v>
      </c>
      <c r="Q191" s="9">
        <f t="shared" si="43"/>
        <v>2343101.89</v>
      </c>
      <c r="R191" s="9">
        <f t="shared" si="43"/>
        <v>2553092.5</v>
      </c>
      <c r="S191" s="5"/>
      <c r="T191" s="58"/>
      <c r="U191" s="58"/>
      <c r="V191" s="58"/>
      <c r="W191" s="58"/>
    </row>
    <row r="192" spans="1:36" ht="15" customHeight="1" thickTop="1" x14ac:dyDescent="0.25">
      <c r="C192" s="3">
        <f>+C191-E191</f>
        <v>15081308.729999997</v>
      </c>
    </row>
    <row r="193" spans="1:36" x14ac:dyDescent="0.25">
      <c r="C193" s="59">
        <f>+C192/E191</f>
        <v>1.1334293721642958</v>
      </c>
      <c r="G193" s="3">
        <f>C191+C182+C163</f>
        <v>298002672.11000001</v>
      </c>
    </row>
    <row r="194" spans="1:36" x14ac:dyDescent="0.25">
      <c r="A194" s="37" t="s">
        <v>129</v>
      </c>
      <c r="B194" s="38"/>
      <c r="C194" s="39"/>
      <c r="D194" s="38"/>
      <c r="E194" s="39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36" x14ac:dyDescent="0.25">
      <c r="A195" s="2"/>
    </row>
    <row r="196" spans="1:36" x14ac:dyDescent="0.25">
      <c r="A196" s="4" t="s">
        <v>12</v>
      </c>
      <c r="C196" s="5">
        <v>2020</v>
      </c>
      <c r="D196" s="6"/>
      <c r="E196" s="5">
        <v>2019</v>
      </c>
      <c r="G196" s="42" t="s">
        <v>176</v>
      </c>
      <c r="H196" s="42" t="s">
        <v>177</v>
      </c>
      <c r="I196" s="42" t="s">
        <v>178</v>
      </c>
      <c r="J196" s="42" t="s">
        <v>179</v>
      </c>
      <c r="K196" s="42" t="s">
        <v>180</v>
      </c>
      <c r="L196" s="42" t="s">
        <v>181</v>
      </c>
      <c r="M196" s="42" t="s">
        <v>240</v>
      </c>
      <c r="N196" s="42" t="s">
        <v>241</v>
      </c>
      <c r="O196" s="42" t="s">
        <v>265</v>
      </c>
      <c r="P196" s="42" t="s">
        <v>266</v>
      </c>
      <c r="Q196" s="42" t="s">
        <v>267</v>
      </c>
      <c r="R196" s="42" t="s">
        <v>268</v>
      </c>
    </row>
    <row r="197" spans="1:36" s="6" customFormat="1" ht="30" x14ac:dyDescent="0.25">
      <c r="A197" s="7" t="s">
        <v>130</v>
      </c>
      <c r="B197" s="1"/>
      <c r="C197" s="3">
        <f>SUM(G197:R197)</f>
        <v>188500</v>
      </c>
      <c r="D197" s="1"/>
      <c r="E197" s="3">
        <v>62900</v>
      </c>
      <c r="F197" s="1"/>
      <c r="G197" s="3">
        <v>32000</v>
      </c>
      <c r="H197" s="36">
        <v>0</v>
      </c>
      <c r="I197" s="36">
        <v>0</v>
      </c>
      <c r="J197" s="3">
        <v>34000</v>
      </c>
      <c r="K197" s="3">
        <v>27500</v>
      </c>
      <c r="L197" s="36">
        <v>0</v>
      </c>
      <c r="M197" s="36">
        <v>5000</v>
      </c>
      <c r="N197" s="53">
        <v>90000</v>
      </c>
      <c r="O197" s="36">
        <v>0</v>
      </c>
      <c r="P197" s="36">
        <v>0</v>
      </c>
      <c r="Q197" s="36">
        <v>0</v>
      </c>
      <c r="R197" s="36">
        <v>0</v>
      </c>
      <c r="S197" s="56">
        <v>2</v>
      </c>
      <c r="T197" s="57">
        <v>4</v>
      </c>
      <c r="U197" s="57">
        <v>1</v>
      </c>
      <c r="V197" s="57">
        <v>2</v>
      </c>
      <c r="W197" s="57" t="s">
        <v>186</v>
      </c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</row>
    <row r="198" spans="1:36" s="6" customFormat="1" ht="30" x14ac:dyDescent="0.25">
      <c r="A198" s="7" t="s">
        <v>131</v>
      </c>
      <c r="B198" s="1"/>
      <c r="C198" s="3">
        <f>SUM(G198:R198)</f>
        <v>212255.40000000002</v>
      </c>
      <c r="D198" s="1"/>
      <c r="E198" s="3">
        <v>373759.25</v>
      </c>
      <c r="F198" s="1"/>
      <c r="G198" s="3">
        <v>70751.8</v>
      </c>
      <c r="H198" s="3">
        <v>70751.8</v>
      </c>
      <c r="I198" s="3">
        <v>70751.8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56">
        <v>2</v>
      </c>
      <c r="T198" s="57">
        <v>4</v>
      </c>
      <c r="U198" s="57">
        <v>5</v>
      </c>
      <c r="V198" s="57">
        <v>2</v>
      </c>
      <c r="W198" s="57" t="s">
        <v>185</v>
      </c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</row>
    <row r="199" spans="1:36" s="6" customFormat="1" ht="30.75" thickBot="1" x14ac:dyDescent="0.3">
      <c r="A199" s="2" t="s">
        <v>132</v>
      </c>
      <c r="C199" s="9">
        <f>SUM(C197:C198)</f>
        <v>400755.4</v>
      </c>
      <c r="E199" s="9">
        <f>SUM(E197:E198)</f>
        <v>436659.25</v>
      </c>
      <c r="G199" s="9">
        <f t="shared" ref="G199:R199" si="44">SUM(G197:G198)</f>
        <v>102751.8</v>
      </c>
      <c r="H199" s="9">
        <f t="shared" si="44"/>
        <v>70751.8</v>
      </c>
      <c r="I199" s="9">
        <f t="shared" si="44"/>
        <v>70751.8</v>
      </c>
      <c r="J199" s="9">
        <f t="shared" si="44"/>
        <v>34000</v>
      </c>
      <c r="K199" s="9">
        <f t="shared" si="44"/>
        <v>27500</v>
      </c>
      <c r="L199" s="9">
        <f t="shared" si="44"/>
        <v>0</v>
      </c>
      <c r="M199" s="9">
        <f t="shared" si="44"/>
        <v>5000</v>
      </c>
      <c r="N199" s="9">
        <f t="shared" si="44"/>
        <v>90000</v>
      </c>
      <c r="O199" s="9">
        <f t="shared" si="44"/>
        <v>0</v>
      </c>
      <c r="P199" s="9">
        <f t="shared" si="44"/>
        <v>0</v>
      </c>
      <c r="Q199" s="9">
        <f t="shared" si="44"/>
        <v>0</v>
      </c>
      <c r="R199" s="9">
        <f t="shared" si="44"/>
        <v>0</v>
      </c>
      <c r="S199" s="5"/>
      <c r="T199" s="58"/>
      <c r="U199" s="58"/>
      <c r="V199" s="58"/>
      <c r="W199" s="58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</row>
    <row r="200" spans="1:36" ht="15.75" thickTop="1" x14ac:dyDescent="0.25">
      <c r="A200" s="2"/>
      <c r="B200" s="6"/>
      <c r="C200" s="3">
        <f>+C199-E199</f>
        <v>-35903.849999999977</v>
      </c>
      <c r="D200" s="6"/>
      <c r="E200" s="60"/>
      <c r="F200" s="6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5"/>
      <c r="T200" s="58"/>
      <c r="U200" s="58"/>
      <c r="V200" s="58"/>
      <c r="W200" s="58"/>
    </row>
    <row r="201" spans="1:36" x14ac:dyDescent="0.25">
      <c r="A201" s="2"/>
      <c r="B201" s="6"/>
      <c r="C201" s="59">
        <f>+C200/E199</f>
        <v>-8.2223953803795463E-2</v>
      </c>
      <c r="D201" s="6"/>
      <c r="E201" s="60"/>
      <c r="F201" s="6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5"/>
      <c r="T201" s="58"/>
      <c r="U201" s="58"/>
      <c r="V201" s="58"/>
      <c r="W201" s="58"/>
    </row>
    <row r="203" spans="1:36" x14ac:dyDescent="0.25">
      <c r="A203" s="37" t="s">
        <v>133</v>
      </c>
      <c r="B203" s="38"/>
      <c r="C203" s="39"/>
      <c r="D203" s="38"/>
      <c r="E203" s="39"/>
      <c r="F203" s="38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36" x14ac:dyDescent="0.25">
      <c r="A204" s="2"/>
    </row>
    <row r="205" spans="1:36" x14ac:dyDescent="0.25">
      <c r="A205" s="4" t="s">
        <v>12</v>
      </c>
      <c r="C205" s="5">
        <v>2020</v>
      </c>
      <c r="D205" s="6"/>
      <c r="E205" s="5">
        <v>2019</v>
      </c>
      <c r="G205" s="42" t="s">
        <v>176</v>
      </c>
      <c r="H205" s="42" t="s">
        <v>177</v>
      </c>
      <c r="I205" s="42" t="s">
        <v>178</v>
      </c>
      <c r="J205" s="42" t="s">
        <v>179</v>
      </c>
      <c r="K205" s="42" t="s">
        <v>180</v>
      </c>
      <c r="L205" s="42" t="s">
        <v>181</v>
      </c>
      <c r="M205" s="42" t="s">
        <v>240</v>
      </c>
      <c r="N205" s="42" t="s">
        <v>241</v>
      </c>
      <c r="O205" s="42" t="s">
        <v>265</v>
      </c>
      <c r="P205" s="42" t="s">
        <v>266</v>
      </c>
      <c r="Q205" s="42" t="s">
        <v>267</v>
      </c>
      <c r="R205" s="42" t="s">
        <v>268</v>
      </c>
    </row>
    <row r="206" spans="1:36" x14ac:dyDescent="0.25">
      <c r="A206" s="7" t="s">
        <v>134</v>
      </c>
      <c r="C206" s="3">
        <f>SUM(G206:R206)</f>
        <v>5904996.0300000003</v>
      </c>
      <c r="E206" s="3">
        <v>3567395.39</v>
      </c>
      <c r="G206" s="3">
        <v>387360.78</v>
      </c>
      <c r="H206" s="3">
        <v>399958.54</v>
      </c>
      <c r="I206" s="3">
        <v>315600.74</v>
      </c>
      <c r="J206" s="3">
        <v>303622.23</v>
      </c>
      <c r="K206" s="3">
        <v>289656.73</v>
      </c>
      <c r="L206" s="3">
        <v>415947.62</v>
      </c>
      <c r="M206" s="3">
        <v>505090.56</v>
      </c>
      <c r="N206" s="3">
        <v>585108.4</v>
      </c>
      <c r="O206" s="3">
        <v>598491.43000000005</v>
      </c>
      <c r="P206" s="3">
        <v>647596.46</v>
      </c>
      <c r="Q206" s="3">
        <v>697055.45</v>
      </c>
      <c r="R206" s="3">
        <v>759507.09</v>
      </c>
      <c r="S206" s="56">
        <v>2</v>
      </c>
      <c r="T206" s="57">
        <v>3</v>
      </c>
      <c r="U206" s="57">
        <v>1</v>
      </c>
    </row>
    <row r="207" spans="1:36" x14ac:dyDescent="0.25">
      <c r="A207" s="7" t="s">
        <v>135</v>
      </c>
      <c r="C207" s="3">
        <f t="shared" ref="C207:C215" si="45">SUM(G207:R207)</f>
        <v>1158372.08</v>
      </c>
      <c r="E207" s="3">
        <v>46993.5</v>
      </c>
      <c r="G207" s="3">
        <v>0</v>
      </c>
      <c r="H207" s="3">
        <v>52283.78</v>
      </c>
      <c r="I207" s="3">
        <v>948720</v>
      </c>
      <c r="J207" s="3">
        <v>147246.29999999999</v>
      </c>
      <c r="K207" s="3">
        <v>0</v>
      </c>
      <c r="L207" s="3">
        <v>6372</v>
      </c>
      <c r="M207" s="3">
        <v>0</v>
      </c>
      <c r="N207" s="3">
        <v>0</v>
      </c>
      <c r="P207" s="3">
        <v>0</v>
      </c>
      <c r="Q207" s="3">
        <v>3750</v>
      </c>
      <c r="R207" s="3">
        <v>0</v>
      </c>
      <c r="S207" s="56">
        <v>2</v>
      </c>
      <c r="T207" s="57">
        <v>3</v>
      </c>
      <c r="U207" s="57">
        <v>2</v>
      </c>
    </row>
    <row r="208" spans="1:36" ht="30" x14ac:dyDescent="0.25">
      <c r="A208" s="7" t="s">
        <v>136</v>
      </c>
      <c r="C208" s="3">
        <f t="shared" si="45"/>
        <v>4653735.84</v>
      </c>
      <c r="E208" s="3">
        <v>2538629.62</v>
      </c>
      <c r="G208" s="3">
        <v>52392</v>
      </c>
      <c r="H208" s="3">
        <v>0</v>
      </c>
      <c r="I208" s="3">
        <v>710431.98</v>
      </c>
      <c r="J208" s="3">
        <v>165152.79999999999</v>
      </c>
      <c r="K208" s="3">
        <v>452435.6</v>
      </c>
      <c r="L208" s="3">
        <v>275822.64</v>
      </c>
      <c r="M208" s="3">
        <v>1838121.4000000004</v>
      </c>
      <c r="N208" s="3">
        <v>0</v>
      </c>
      <c r="O208" s="3">
        <v>284757.59999999998</v>
      </c>
      <c r="P208" s="3">
        <v>30500.32</v>
      </c>
      <c r="Q208" s="3">
        <v>0</v>
      </c>
      <c r="R208" s="3">
        <v>844121.5</v>
      </c>
      <c r="S208" s="56">
        <v>2</v>
      </c>
      <c r="T208" s="57">
        <v>3</v>
      </c>
      <c r="U208" s="57">
        <v>3</v>
      </c>
    </row>
    <row r="209" spans="1:36" x14ac:dyDescent="0.25">
      <c r="A209" s="7" t="s">
        <v>137</v>
      </c>
      <c r="C209" s="3">
        <f t="shared" si="45"/>
        <v>40270590.119999997</v>
      </c>
      <c r="E209" s="3">
        <v>31479411.440000001</v>
      </c>
      <c r="G209" s="3">
        <v>2573452.71</v>
      </c>
      <c r="H209" s="3">
        <v>5349405.05</v>
      </c>
      <c r="I209" s="3">
        <v>4527748.3500000006</v>
      </c>
      <c r="J209" s="3">
        <v>2041954.35</v>
      </c>
      <c r="K209" s="3">
        <v>2261252.61</v>
      </c>
      <c r="L209" s="3">
        <v>1789881.8900000004</v>
      </c>
      <c r="M209" s="3">
        <v>1509077.44</v>
      </c>
      <c r="N209" s="3">
        <v>2997965.05</v>
      </c>
      <c r="O209" s="3">
        <v>4855466.82</v>
      </c>
      <c r="P209" s="3">
        <v>3989866.12</v>
      </c>
      <c r="Q209" s="3">
        <v>3703777.87</v>
      </c>
      <c r="R209" s="3">
        <v>4670741.8600000003</v>
      </c>
      <c r="S209" s="56">
        <v>2</v>
      </c>
      <c r="T209" s="57">
        <v>3</v>
      </c>
      <c r="U209" s="57">
        <v>4</v>
      </c>
    </row>
    <row r="210" spans="1:36" ht="30" x14ac:dyDescent="0.25">
      <c r="A210" s="7" t="s">
        <v>138</v>
      </c>
      <c r="C210" s="3">
        <f t="shared" si="45"/>
        <v>7506470.5</v>
      </c>
      <c r="E210" s="3">
        <v>827797.86</v>
      </c>
      <c r="G210" s="3">
        <v>65499.44</v>
      </c>
      <c r="H210" s="3">
        <v>1098167</v>
      </c>
      <c r="I210" s="3">
        <v>0</v>
      </c>
      <c r="J210" s="3">
        <v>0</v>
      </c>
      <c r="K210" s="3">
        <v>363625.26</v>
      </c>
      <c r="L210" s="3">
        <v>0</v>
      </c>
      <c r="M210" s="3">
        <v>2396438.2800000003</v>
      </c>
      <c r="N210" s="3">
        <v>1540907.76</v>
      </c>
      <c r="O210" s="3">
        <v>19109.759999999998</v>
      </c>
      <c r="P210" s="3">
        <v>0</v>
      </c>
      <c r="Q210" s="3">
        <v>1022378</v>
      </c>
      <c r="R210" s="3">
        <v>1000345</v>
      </c>
      <c r="S210" s="56">
        <v>2</v>
      </c>
      <c r="T210" s="57">
        <v>3</v>
      </c>
      <c r="U210" s="57">
        <v>5</v>
      </c>
    </row>
    <row r="211" spans="1:36" ht="30" x14ac:dyDescent="0.25">
      <c r="A211" s="7" t="s">
        <v>139</v>
      </c>
      <c r="C211" s="3">
        <f t="shared" si="45"/>
        <v>649279.32000000007</v>
      </c>
      <c r="E211" s="3">
        <v>438724</v>
      </c>
      <c r="G211" s="3">
        <v>0</v>
      </c>
      <c r="H211" s="3">
        <v>0</v>
      </c>
      <c r="I211" s="3">
        <v>13070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518327.32</v>
      </c>
      <c r="R211" s="3">
        <v>117882</v>
      </c>
      <c r="S211" s="56">
        <v>2</v>
      </c>
      <c r="T211" s="57">
        <v>3</v>
      </c>
      <c r="U211" s="57">
        <v>6</v>
      </c>
    </row>
    <row r="212" spans="1:36" x14ac:dyDescent="0.25">
      <c r="A212" s="7" t="s">
        <v>140</v>
      </c>
      <c r="C212" s="3">
        <f t="shared" si="45"/>
        <v>3921660.35</v>
      </c>
      <c r="E212" s="3">
        <v>887666.97</v>
      </c>
      <c r="G212" s="3">
        <v>30342</v>
      </c>
      <c r="H212" s="3">
        <v>14350</v>
      </c>
      <c r="I212" s="3">
        <v>440405.69</v>
      </c>
      <c r="J212" s="3">
        <v>57841</v>
      </c>
      <c r="K212" s="3">
        <v>179900</v>
      </c>
      <c r="L212" s="3">
        <v>67069</v>
      </c>
      <c r="M212" s="3">
        <v>526566.5</v>
      </c>
      <c r="N212" s="3">
        <v>46040</v>
      </c>
      <c r="O212" s="3">
        <v>1909357.48</v>
      </c>
      <c r="P212" s="3">
        <v>561187</v>
      </c>
      <c r="Q212" s="3">
        <v>0</v>
      </c>
      <c r="R212" s="3">
        <v>88601.68</v>
      </c>
      <c r="S212" s="56">
        <v>2</v>
      </c>
      <c r="T212" s="57">
        <v>3</v>
      </c>
      <c r="U212" s="57">
        <v>7</v>
      </c>
      <c r="V212" s="57">
        <v>1</v>
      </c>
    </row>
    <row r="213" spans="1:36" x14ac:dyDescent="0.25">
      <c r="A213" s="7" t="s">
        <v>141</v>
      </c>
      <c r="C213" s="3">
        <f t="shared" si="45"/>
        <v>11629335.59</v>
      </c>
      <c r="E213" s="3">
        <v>9204927.1999999993</v>
      </c>
      <c r="G213" s="3">
        <v>896755.19999999995</v>
      </c>
      <c r="H213" s="3">
        <v>861693</v>
      </c>
      <c r="I213" s="3">
        <v>1290406</v>
      </c>
      <c r="J213" s="3">
        <v>700606.8</v>
      </c>
      <c r="K213" s="3">
        <v>2477858.7600000002</v>
      </c>
      <c r="L213" s="3">
        <v>1260330.5699999998</v>
      </c>
      <c r="M213" s="3">
        <v>2680328.3800000004</v>
      </c>
      <c r="N213" s="3">
        <v>1420126.88</v>
      </c>
      <c r="O213" s="3">
        <v>0</v>
      </c>
      <c r="P213" s="3">
        <v>0</v>
      </c>
      <c r="Q213" s="3">
        <v>0</v>
      </c>
      <c r="R213" s="3">
        <f>20530+20700</f>
        <v>41230</v>
      </c>
      <c r="S213" s="56">
        <v>2</v>
      </c>
      <c r="T213" s="57">
        <v>3</v>
      </c>
      <c r="U213" s="57">
        <v>7</v>
      </c>
      <c r="V213" s="57">
        <v>2</v>
      </c>
    </row>
    <row r="214" spans="1:36" s="6" customFormat="1" x14ac:dyDescent="0.25">
      <c r="A214" s="7" t="s">
        <v>142</v>
      </c>
      <c r="B214" s="1"/>
      <c r="C214" s="3">
        <f t="shared" si="45"/>
        <v>123009547.21000001</v>
      </c>
      <c r="D214" s="1"/>
      <c r="E214" s="3">
        <v>137977906.34</v>
      </c>
      <c r="F214" s="1"/>
      <c r="G214" s="3">
        <v>17121924.829999998</v>
      </c>
      <c r="H214" s="3">
        <v>22062263.780000009</v>
      </c>
      <c r="I214" s="3">
        <v>15909102.050000001</v>
      </c>
      <c r="J214" s="3">
        <v>9858366.3000000007</v>
      </c>
      <c r="K214" s="3">
        <v>2410841.79</v>
      </c>
      <c r="L214" s="3">
        <v>4568193.2399999993</v>
      </c>
      <c r="M214" s="3">
        <v>4613834.24</v>
      </c>
      <c r="N214" s="3">
        <f>5112619.59</f>
        <v>5112619.59</v>
      </c>
      <c r="O214" s="3">
        <v>6060180.9400000004</v>
      </c>
      <c r="P214" s="3">
        <v>8695484.8100000005</v>
      </c>
      <c r="Q214" s="3">
        <v>13174087.439999999</v>
      </c>
      <c r="R214" s="3">
        <v>13422648.199999999</v>
      </c>
      <c r="S214" s="56">
        <v>2</v>
      </c>
      <c r="T214" s="57">
        <v>3</v>
      </c>
      <c r="U214" s="57">
        <v>9</v>
      </c>
      <c r="V214" s="57">
        <v>3</v>
      </c>
      <c r="W214" s="57" t="s">
        <v>185</v>
      </c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</row>
    <row r="215" spans="1:36" x14ac:dyDescent="0.25">
      <c r="A215" s="7" t="s">
        <v>143</v>
      </c>
      <c r="C215" s="3">
        <f t="shared" si="45"/>
        <v>18539738.550000001</v>
      </c>
      <c r="E215" s="3">
        <v>12142234.439999999</v>
      </c>
      <c r="G215" s="3">
        <v>183854.19</v>
      </c>
      <c r="H215" s="3">
        <v>90602.8</v>
      </c>
      <c r="I215" s="3">
        <v>4234394.45</v>
      </c>
      <c r="J215" s="3">
        <v>1684997.1099999999</v>
      </c>
      <c r="K215" s="3">
        <v>1437579.44</v>
      </c>
      <c r="L215" s="3">
        <v>746987.28</v>
      </c>
      <c r="M215" s="3">
        <v>1649104.0499999998</v>
      </c>
      <c r="N215" s="3">
        <f>5406642.92+1012804.96-1012904.96+100</f>
        <v>5406642.9199999999</v>
      </c>
      <c r="O215" s="3">
        <v>0</v>
      </c>
      <c r="P215" s="3">
        <v>0</v>
      </c>
      <c r="Q215" s="3">
        <v>0</v>
      </c>
      <c r="R215" s="3">
        <v>3105576.31</v>
      </c>
      <c r="S215" s="56">
        <v>2</v>
      </c>
      <c r="T215" s="57">
        <v>3</v>
      </c>
      <c r="U215" s="57">
        <v>9</v>
      </c>
    </row>
    <row r="216" spans="1:36" ht="15.75" thickBot="1" x14ac:dyDescent="0.3">
      <c r="A216" s="2" t="s">
        <v>144</v>
      </c>
      <c r="B216" s="6"/>
      <c r="C216" s="9">
        <f>SUM(C206:C215)</f>
        <v>217243725.59000003</v>
      </c>
      <c r="D216" s="6"/>
      <c r="E216" s="9">
        <f>SUM(E206:E215)</f>
        <v>199111686.75999999</v>
      </c>
      <c r="F216" s="6"/>
      <c r="G216" s="9">
        <f t="shared" ref="G216:R216" si="46">SUM(G206:G215)</f>
        <v>21311581.149999999</v>
      </c>
      <c r="H216" s="9">
        <f t="shared" si="46"/>
        <v>29928723.95000001</v>
      </c>
      <c r="I216" s="9">
        <f t="shared" si="46"/>
        <v>28389879.260000002</v>
      </c>
      <c r="J216" s="9">
        <f t="shared" si="46"/>
        <v>14959786.890000001</v>
      </c>
      <c r="K216" s="9">
        <f t="shared" si="46"/>
        <v>9873150.1899999995</v>
      </c>
      <c r="L216" s="9">
        <f t="shared" si="46"/>
        <v>9130604.2399999984</v>
      </c>
      <c r="M216" s="9">
        <f t="shared" si="46"/>
        <v>15718560.850000001</v>
      </c>
      <c r="N216" s="9">
        <f t="shared" si="46"/>
        <v>17109410.600000001</v>
      </c>
      <c r="O216" s="9">
        <f t="shared" si="46"/>
        <v>13727364.030000001</v>
      </c>
      <c r="P216" s="9">
        <f t="shared" si="46"/>
        <v>13924634.710000001</v>
      </c>
      <c r="Q216" s="9">
        <f t="shared" si="46"/>
        <v>19119376.079999998</v>
      </c>
      <c r="R216" s="9">
        <f t="shared" si="46"/>
        <v>24050653.639999997</v>
      </c>
      <c r="S216" s="5"/>
      <c r="T216" s="58"/>
      <c r="U216" s="58"/>
      <c r="V216" s="58"/>
      <c r="W216" s="58"/>
    </row>
    <row r="217" spans="1:36" ht="15.75" thickTop="1" x14ac:dyDescent="0.25">
      <c r="C217" s="3">
        <f>+C216-E216</f>
        <v>18132038.830000043</v>
      </c>
      <c r="R217" s="3" t="s">
        <v>251</v>
      </c>
    </row>
    <row r="218" spans="1:36" x14ac:dyDescent="0.25">
      <c r="C218" s="59">
        <f>+C217/E216</f>
        <v>9.1064663883117833E-2</v>
      </c>
      <c r="N218" s="3">
        <v>26</v>
      </c>
      <c r="R218" s="3">
        <v>18959859.210000001</v>
      </c>
    </row>
    <row r="219" spans="1:36" x14ac:dyDescent="0.25">
      <c r="A219" s="37" t="s">
        <v>145</v>
      </c>
      <c r="B219" s="38"/>
      <c r="C219" s="39"/>
      <c r="D219" s="38"/>
      <c r="E219" s="39"/>
      <c r="F219" s="3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36" x14ac:dyDescent="0.25">
      <c r="A220" s="2"/>
    </row>
    <row r="221" spans="1:36" x14ac:dyDescent="0.25">
      <c r="A221" s="4" t="s">
        <v>12</v>
      </c>
      <c r="C221" s="5">
        <v>2020</v>
      </c>
      <c r="D221" s="6"/>
      <c r="E221" s="5">
        <v>2019</v>
      </c>
      <c r="G221" s="42" t="s">
        <v>176</v>
      </c>
      <c r="H221" s="42" t="s">
        <v>177</v>
      </c>
      <c r="I221" s="42" t="s">
        <v>178</v>
      </c>
      <c r="J221" s="42" t="s">
        <v>179</v>
      </c>
      <c r="K221" s="42" t="s">
        <v>180</v>
      </c>
      <c r="L221" s="42" t="s">
        <v>181</v>
      </c>
      <c r="M221" s="42" t="s">
        <v>240</v>
      </c>
      <c r="N221" s="42" t="s">
        <v>241</v>
      </c>
      <c r="O221" s="42" t="s">
        <v>265</v>
      </c>
      <c r="P221" s="42" t="s">
        <v>266</v>
      </c>
      <c r="Q221" s="42" t="s">
        <v>267</v>
      </c>
      <c r="R221" s="42" t="s">
        <v>268</v>
      </c>
    </row>
    <row r="222" spans="1:36" x14ac:dyDescent="0.25">
      <c r="A222" s="108" t="s">
        <v>146</v>
      </c>
      <c r="C222" s="3">
        <f>+R222</f>
        <v>195719.84856059583</v>
      </c>
      <c r="E222" s="3">
        <v>138603.71</v>
      </c>
      <c r="L222" s="3">
        <v>195719.84856059583</v>
      </c>
      <c r="M222" s="3" t="s">
        <v>269</v>
      </c>
      <c r="N222" s="3">
        <v>195719.84856059583</v>
      </c>
      <c r="P222" s="3">
        <v>195719.84856059583</v>
      </c>
      <c r="Q222" s="3">
        <v>195719.84856059583</v>
      </c>
      <c r="R222" s="3">
        <v>195719.84856059583</v>
      </c>
    </row>
    <row r="223" spans="1:36" x14ac:dyDescent="0.25">
      <c r="A223" s="108" t="s">
        <v>147</v>
      </c>
      <c r="C223" s="3">
        <f t="shared" ref="C223:C226" si="47">+R223</f>
        <v>988268.56579899916</v>
      </c>
      <c r="E223" s="3">
        <v>793016.18</v>
      </c>
      <c r="L223" s="3">
        <v>988268.56579899916</v>
      </c>
      <c r="M223" s="3" t="s">
        <v>251</v>
      </c>
      <c r="N223" s="3">
        <v>988268.56579899916</v>
      </c>
      <c r="P223" s="3">
        <v>988268.56579899916</v>
      </c>
      <c r="Q223" s="3">
        <v>988268.56579899916</v>
      </c>
      <c r="R223" s="3">
        <v>988268.56579899916</v>
      </c>
    </row>
    <row r="224" spans="1:36" x14ac:dyDescent="0.25">
      <c r="A224" s="108" t="s">
        <v>148</v>
      </c>
      <c r="C224" s="3">
        <f t="shared" si="47"/>
        <v>38809.219480460481</v>
      </c>
      <c r="E224" s="3">
        <v>35459.22</v>
      </c>
      <c r="L224" s="3">
        <v>38809.219480460481</v>
      </c>
      <c r="M224" s="3" t="s">
        <v>251</v>
      </c>
      <c r="N224" s="3">
        <v>38809.219480460481</v>
      </c>
      <c r="P224" s="3">
        <v>38809.219480460481</v>
      </c>
      <c r="Q224" s="3">
        <v>38809.219480460481</v>
      </c>
      <c r="R224" s="3">
        <v>38809.219480460481</v>
      </c>
    </row>
    <row r="225" spans="1:36" s="6" customFormat="1" x14ac:dyDescent="0.25">
      <c r="A225" s="108" t="s">
        <v>149</v>
      </c>
      <c r="B225" s="1"/>
      <c r="C225" s="3">
        <f t="shared" si="47"/>
        <v>1786941.2913101129</v>
      </c>
      <c r="D225" s="1"/>
      <c r="E225" s="3">
        <v>1681912.31</v>
      </c>
      <c r="F225" s="1"/>
      <c r="G225" s="3"/>
      <c r="H225" s="3"/>
      <c r="I225" s="3"/>
      <c r="J225" s="3"/>
      <c r="K225" s="3"/>
      <c r="L225" s="3">
        <v>1786941.2913101129</v>
      </c>
      <c r="M225" s="3" t="s">
        <v>251</v>
      </c>
      <c r="N225" s="3">
        <v>1786941.2913101129</v>
      </c>
      <c r="O225" s="3"/>
      <c r="P225" s="3">
        <v>1786941.2913101129</v>
      </c>
      <c r="Q225" s="3">
        <v>1786941.2913101129</v>
      </c>
      <c r="R225" s="3">
        <v>1786941.2913101129</v>
      </c>
      <c r="S225" s="56"/>
      <c r="T225" s="57"/>
      <c r="U225" s="57"/>
      <c r="V225" s="57"/>
      <c r="W225" s="57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</row>
    <row r="226" spans="1:36" x14ac:dyDescent="0.25">
      <c r="A226" s="108" t="s">
        <v>150</v>
      </c>
      <c r="C226" s="3">
        <f t="shared" si="47"/>
        <v>11827818.732571531</v>
      </c>
      <c r="E226" s="3">
        <v>8756810.8599999994</v>
      </c>
      <c r="G226" s="3">
        <v>0</v>
      </c>
      <c r="L226" s="3">
        <v>11827818.732571531</v>
      </c>
      <c r="M226" s="3">
        <v>1068480.1299999999</v>
      </c>
      <c r="N226" s="3">
        <v>11827818.732571531</v>
      </c>
      <c r="P226" s="3">
        <v>11827818.732571531</v>
      </c>
      <c r="Q226" s="3">
        <v>11827818.732571531</v>
      </c>
      <c r="R226" s="3">
        <v>11827818.732571531</v>
      </c>
    </row>
    <row r="227" spans="1:36" ht="15.75" thickBot="1" x14ac:dyDescent="0.3">
      <c r="A227" s="109" t="s">
        <v>151</v>
      </c>
      <c r="B227" s="6"/>
      <c r="C227" s="9">
        <f>SUM(C222:C226)</f>
        <v>14837557.657721698</v>
      </c>
      <c r="D227" s="6"/>
      <c r="E227" s="9">
        <f>SUM(E222:E226)</f>
        <v>11405802.279999999</v>
      </c>
      <c r="F227" s="6"/>
      <c r="G227" s="9">
        <f t="shared" ref="G227:R227" si="48">SUM(G222:G226)</f>
        <v>0</v>
      </c>
      <c r="H227" s="9">
        <f t="shared" si="48"/>
        <v>0</v>
      </c>
      <c r="I227" s="9">
        <f t="shared" si="48"/>
        <v>0</v>
      </c>
      <c r="J227" s="9">
        <f t="shared" si="48"/>
        <v>0</v>
      </c>
      <c r="K227" s="9">
        <f t="shared" si="48"/>
        <v>0</v>
      </c>
      <c r="L227" s="9">
        <f t="shared" si="48"/>
        <v>14837557.657721698</v>
      </c>
      <c r="M227" s="9">
        <f t="shared" si="48"/>
        <v>1068480.1299999999</v>
      </c>
      <c r="N227" s="9">
        <f t="shared" si="48"/>
        <v>14837557.657721698</v>
      </c>
      <c r="O227" s="9">
        <f t="shared" si="48"/>
        <v>0</v>
      </c>
      <c r="P227" s="9">
        <f t="shared" si="48"/>
        <v>14837557.657721698</v>
      </c>
      <c r="Q227" s="9">
        <f t="shared" si="48"/>
        <v>14837557.657721698</v>
      </c>
      <c r="R227" s="9">
        <f t="shared" si="48"/>
        <v>14837557.657721698</v>
      </c>
      <c r="S227" s="5"/>
      <c r="T227" s="58"/>
      <c r="U227" s="58"/>
      <c r="V227" s="58"/>
      <c r="W227" s="58"/>
    </row>
    <row r="228" spans="1:36" ht="15.75" thickTop="1" x14ac:dyDescent="0.25">
      <c r="C228" s="3">
        <f>+C227-E227</f>
        <v>3431755.377721699</v>
      </c>
    </row>
    <row r="229" spans="1:36" x14ac:dyDescent="0.25">
      <c r="C229" s="59">
        <f>+C228/E227</f>
        <v>0.30087803501023858</v>
      </c>
    </row>
    <row r="230" spans="1:36" x14ac:dyDescent="0.25">
      <c r="A230" s="37" t="s">
        <v>167</v>
      </c>
      <c r="B230" s="38"/>
      <c r="C230" s="39"/>
      <c r="D230" s="38"/>
      <c r="E230" s="39"/>
      <c r="F230" s="38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2" spans="1:36" x14ac:dyDescent="0.25">
      <c r="A232" s="4" t="s">
        <v>12</v>
      </c>
      <c r="C232" s="5">
        <v>2020</v>
      </c>
      <c r="D232" s="6"/>
      <c r="E232" s="5">
        <v>2019</v>
      </c>
      <c r="G232" s="42" t="s">
        <v>176</v>
      </c>
      <c r="H232" s="42" t="s">
        <v>177</v>
      </c>
      <c r="I232" s="42" t="s">
        <v>178</v>
      </c>
      <c r="J232" s="42" t="s">
        <v>179</v>
      </c>
      <c r="K232" s="42" t="s">
        <v>180</v>
      </c>
      <c r="L232" s="42" t="s">
        <v>181</v>
      </c>
      <c r="M232" s="42" t="s">
        <v>240</v>
      </c>
      <c r="N232" s="42" t="s">
        <v>241</v>
      </c>
      <c r="O232" s="42" t="s">
        <v>265</v>
      </c>
      <c r="P232" s="42" t="s">
        <v>266</v>
      </c>
      <c r="Q232" s="42" t="s">
        <v>267</v>
      </c>
      <c r="R232" s="42" t="s">
        <v>268</v>
      </c>
    </row>
    <row r="233" spans="1:36" x14ac:dyDescent="0.25">
      <c r="A233" s="7" t="s">
        <v>168</v>
      </c>
      <c r="C233" s="3">
        <f>SUM(G233:R233)</f>
        <v>5886943.580000001</v>
      </c>
      <c r="E233" s="3">
        <v>5283754.3600000003</v>
      </c>
      <c r="G233" s="3">
        <v>23500</v>
      </c>
      <c r="H233" s="3">
        <v>352087.91</v>
      </c>
      <c r="I233" s="36">
        <v>0</v>
      </c>
      <c r="J233" s="3">
        <v>70500</v>
      </c>
      <c r="K233" s="3">
        <v>761649.11</v>
      </c>
      <c r="L233" s="3">
        <v>619827.48</v>
      </c>
      <c r="M233" s="3">
        <v>149731.5</v>
      </c>
      <c r="N233" s="3">
        <v>319254.54000000004</v>
      </c>
      <c r="O233" s="3">
        <v>558171.1</v>
      </c>
      <c r="P233" s="3">
        <v>2859740.33</v>
      </c>
      <c r="Q233" s="3">
        <v>172481.61</v>
      </c>
      <c r="R233" s="3">
        <v>0</v>
      </c>
      <c r="S233" s="56">
        <v>2</v>
      </c>
      <c r="T233" s="57">
        <v>2</v>
      </c>
      <c r="U233" s="57">
        <v>1</v>
      </c>
    </row>
    <row r="234" spans="1:36" ht="30" x14ac:dyDescent="0.25">
      <c r="A234" s="7" t="s">
        <v>169</v>
      </c>
      <c r="C234" s="3">
        <f t="shared" ref="C234:C240" si="49">SUM(G234:R234)</f>
        <v>4032.93</v>
      </c>
      <c r="E234" s="3">
        <v>67316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4032.93</v>
      </c>
      <c r="Q234" s="36">
        <v>0</v>
      </c>
      <c r="R234" s="36">
        <v>0</v>
      </c>
      <c r="S234" s="56">
        <v>2</v>
      </c>
      <c r="T234" s="57">
        <v>2</v>
      </c>
      <c r="U234" s="57">
        <v>2</v>
      </c>
    </row>
    <row r="235" spans="1:36" x14ac:dyDescent="0.25">
      <c r="A235" s="7" t="s">
        <v>170</v>
      </c>
      <c r="C235" s="3">
        <f t="shared" si="49"/>
        <v>253772.82</v>
      </c>
      <c r="E235" s="3">
        <v>815591.6</v>
      </c>
      <c r="G235" s="3">
        <v>174000</v>
      </c>
      <c r="H235" s="3">
        <v>79772.820000000007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56">
        <v>2</v>
      </c>
      <c r="T235" s="57">
        <v>2</v>
      </c>
      <c r="U235" s="57">
        <v>3</v>
      </c>
    </row>
    <row r="236" spans="1:36" x14ac:dyDescent="0.25">
      <c r="A236" s="7" t="s">
        <v>171</v>
      </c>
      <c r="C236" s="3">
        <f t="shared" si="49"/>
        <v>333360</v>
      </c>
      <c r="E236" s="3">
        <v>11042</v>
      </c>
      <c r="G236" s="3">
        <v>290360</v>
      </c>
      <c r="H236" s="3">
        <v>16000</v>
      </c>
      <c r="I236" s="36">
        <v>0</v>
      </c>
      <c r="J236" s="3">
        <v>24000</v>
      </c>
      <c r="K236" s="36">
        <v>0</v>
      </c>
      <c r="L236" s="3">
        <v>500</v>
      </c>
      <c r="M236" s="3">
        <v>0</v>
      </c>
      <c r="N236" s="3">
        <v>0</v>
      </c>
      <c r="O236" s="3">
        <v>0</v>
      </c>
      <c r="P236" s="3">
        <v>0</v>
      </c>
      <c r="Q236" s="3">
        <v>2500</v>
      </c>
      <c r="R236" s="3">
        <v>0</v>
      </c>
      <c r="S236" s="56">
        <v>2</v>
      </c>
      <c r="T236" s="57">
        <v>2</v>
      </c>
      <c r="U236" s="57">
        <v>4</v>
      </c>
    </row>
    <row r="237" spans="1:36" x14ac:dyDescent="0.25">
      <c r="A237" s="7" t="s">
        <v>172</v>
      </c>
      <c r="C237" s="3">
        <f t="shared" si="49"/>
        <v>3384671.6199999996</v>
      </c>
      <c r="E237" s="3">
        <v>1416429.59</v>
      </c>
      <c r="G237" s="36">
        <v>0</v>
      </c>
      <c r="H237" s="3">
        <v>1543966.4</v>
      </c>
      <c r="I237" s="53">
        <v>32819.39</v>
      </c>
      <c r="J237" s="3">
        <v>7800</v>
      </c>
      <c r="K237" s="3">
        <v>47600</v>
      </c>
      <c r="L237" s="3">
        <v>642291.80999999994</v>
      </c>
      <c r="M237" s="3">
        <v>740418.29</v>
      </c>
      <c r="N237" s="3">
        <v>354175.73000000004</v>
      </c>
      <c r="O237" s="3">
        <v>0</v>
      </c>
      <c r="P237" s="3">
        <v>15600</v>
      </c>
      <c r="Q237" s="3">
        <v>0</v>
      </c>
      <c r="R237" s="3">
        <v>0</v>
      </c>
      <c r="S237" s="56">
        <v>2</v>
      </c>
      <c r="T237" s="57">
        <v>2</v>
      </c>
      <c r="U237" s="57">
        <v>5</v>
      </c>
    </row>
    <row r="238" spans="1:36" s="6" customFormat="1" x14ac:dyDescent="0.25">
      <c r="A238" s="7" t="s">
        <v>271</v>
      </c>
      <c r="B238" s="1"/>
      <c r="C238" s="3">
        <f t="shared" si="49"/>
        <v>1025230.59</v>
      </c>
      <c r="D238" s="1"/>
      <c r="E238" s="3"/>
      <c r="F238" s="1"/>
      <c r="G238" s="36">
        <v>0</v>
      </c>
      <c r="H238" s="3">
        <v>0</v>
      </c>
      <c r="I238" s="5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5325</v>
      </c>
      <c r="O238" s="3">
        <v>0</v>
      </c>
      <c r="P238" s="3">
        <v>1019905.59</v>
      </c>
      <c r="Q238" s="3">
        <v>0</v>
      </c>
      <c r="R238" s="3">
        <v>0</v>
      </c>
      <c r="S238" s="56"/>
      <c r="T238" s="57"/>
      <c r="U238" s="57"/>
      <c r="V238" s="57"/>
      <c r="W238" s="57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</row>
    <row r="239" spans="1:36" ht="30" x14ac:dyDescent="0.25">
      <c r="A239" s="7" t="s">
        <v>173</v>
      </c>
      <c r="C239" s="3">
        <f t="shared" si="49"/>
        <v>10631171.890000001</v>
      </c>
      <c r="E239" s="3">
        <v>7239089.2199999997</v>
      </c>
      <c r="G239" s="3">
        <v>75682.84</v>
      </c>
      <c r="H239" s="3">
        <v>85606.34</v>
      </c>
      <c r="I239" s="53">
        <v>462504.41</v>
      </c>
      <c r="J239" s="36">
        <v>0</v>
      </c>
      <c r="K239" s="3">
        <v>425279.26</v>
      </c>
      <c r="L239" s="3">
        <v>2270472.2999999998</v>
      </c>
      <c r="M239" s="3">
        <v>2389372.79</v>
      </c>
      <c r="N239" s="3">
        <v>3337283.9800000004</v>
      </c>
      <c r="O239" s="3">
        <v>26314</v>
      </c>
      <c r="P239" s="3">
        <v>1096890.6599999999</v>
      </c>
      <c r="Q239" s="3">
        <v>36705.800000000003</v>
      </c>
      <c r="R239" s="3">
        <f>425059.51</f>
        <v>425059.51</v>
      </c>
      <c r="S239" s="56">
        <v>2</v>
      </c>
      <c r="T239" s="57">
        <v>2</v>
      </c>
      <c r="U239" s="57">
        <v>7</v>
      </c>
    </row>
    <row r="240" spans="1:36" x14ac:dyDescent="0.25">
      <c r="A240" s="7" t="s">
        <v>174</v>
      </c>
      <c r="C240" s="3">
        <f t="shared" si="49"/>
        <v>11550158.039999999</v>
      </c>
      <c r="E240" s="3">
        <v>6371859.2800000003</v>
      </c>
      <c r="G240" s="3">
        <v>1504748.4299999997</v>
      </c>
      <c r="H240" s="3">
        <v>1613116.48</v>
      </c>
      <c r="I240" s="53">
        <v>180022.88</v>
      </c>
      <c r="J240" s="3">
        <v>224762.88</v>
      </c>
      <c r="K240" s="3">
        <v>1278008.5099999998</v>
      </c>
      <c r="L240" s="3">
        <v>1792486.55</v>
      </c>
      <c r="M240" s="3">
        <v>1215397.2399999998</v>
      </c>
      <c r="N240" s="3">
        <v>484388.3</v>
      </c>
      <c r="O240" s="3">
        <v>550639.03</v>
      </c>
      <c r="P240" s="3">
        <v>179255.73</v>
      </c>
      <c r="Q240" s="3">
        <v>1592743.81</v>
      </c>
      <c r="R240" s="3">
        <f>934588.2</f>
        <v>934588.2</v>
      </c>
      <c r="S240" s="56">
        <v>2</v>
      </c>
      <c r="T240" s="57">
        <v>2</v>
      </c>
      <c r="U240" s="57">
        <v>8</v>
      </c>
    </row>
    <row r="241" spans="1:23" ht="15.75" thickBot="1" x14ac:dyDescent="0.3">
      <c r="A241" s="2" t="s">
        <v>175</v>
      </c>
      <c r="B241" s="6"/>
      <c r="C241" s="9">
        <f>SUM(C233:C240)</f>
        <v>33069341.469999999</v>
      </c>
      <c r="D241" s="6"/>
      <c r="E241" s="9">
        <f>SUM(E233:E240)</f>
        <v>21205082.050000001</v>
      </c>
      <c r="F241" s="6"/>
      <c r="G241" s="9">
        <f t="shared" ref="G241:L241" si="50">SUM(G233:G240)</f>
        <v>2068291.2699999996</v>
      </c>
      <c r="H241" s="9">
        <f t="shared" si="50"/>
        <v>3690549.95</v>
      </c>
      <c r="I241" s="9">
        <f t="shared" si="50"/>
        <v>675346.67999999993</v>
      </c>
      <c r="J241" s="9">
        <f t="shared" si="50"/>
        <v>327062.88</v>
      </c>
      <c r="K241" s="9">
        <f t="shared" si="50"/>
        <v>2512536.88</v>
      </c>
      <c r="L241" s="9">
        <f t="shared" si="50"/>
        <v>5325578.1399999997</v>
      </c>
      <c r="M241" s="9">
        <f t="shared" ref="M241:R241" si="51">SUM(M232:M240)</f>
        <v>4494919.82</v>
      </c>
      <c r="N241" s="9">
        <f t="shared" si="51"/>
        <v>4500427.5500000007</v>
      </c>
      <c r="O241" s="9">
        <f t="shared" si="51"/>
        <v>1135124.1299999999</v>
      </c>
      <c r="P241" s="9">
        <f t="shared" si="51"/>
        <v>5175425.24</v>
      </c>
      <c r="Q241" s="9">
        <f t="shared" si="51"/>
        <v>1804431.22</v>
      </c>
      <c r="R241" s="9">
        <f t="shared" si="51"/>
        <v>1359647.71</v>
      </c>
      <c r="S241" s="5"/>
      <c r="T241" s="58"/>
      <c r="U241" s="58"/>
      <c r="V241" s="58"/>
      <c r="W241" s="58"/>
    </row>
    <row r="242" spans="1:23" ht="15.75" thickTop="1" x14ac:dyDescent="0.25">
      <c r="C242" s="3">
        <f>+C241-E241</f>
        <v>11864259.419999998</v>
      </c>
    </row>
    <row r="243" spans="1:23" x14ac:dyDescent="0.25">
      <c r="C243" s="59">
        <f>+C242/E241</f>
        <v>0.5595007551503437</v>
      </c>
    </row>
  </sheetData>
  <pageMargins left="0.70866141732283472" right="0.70866141732283472" top="0.74803149606299213" bottom="0.74803149606299213" header="0.31496062992125984" footer="0.31496062992125984"/>
  <pageSetup paperSize="5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3" workbookViewId="0">
      <selection activeCell="D13" sqref="D13"/>
    </sheetView>
  </sheetViews>
  <sheetFormatPr baseColWidth="10" defaultRowHeight="15" x14ac:dyDescent="0.25"/>
  <cols>
    <col min="1" max="1" width="13.140625" customWidth="1"/>
    <col min="2" max="2" width="65.85546875" customWidth="1"/>
    <col min="3" max="3" width="6.140625" customWidth="1"/>
    <col min="4" max="4" width="16.85546875" style="21" bestFit="1" customWidth="1"/>
    <col min="6" max="6" width="15.140625" bestFit="1" customWidth="1"/>
    <col min="7" max="7" width="15.85546875" style="21" bestFit="1" customWidth="1"/>
    <col min="8" max="9" width="16.7109375" bestFit="1" customWidth="1"/>
  </cols>
  <sheetData>
    <row r="1" spans="1:8" x14ac:dyDescent="0.25">
      <c r="A1" s="204" t="s">
        <v>198</v>
      </c>
      <c r="B1" s="204"/>
      <c r="C1" s="204"/>
      <c r="D1" s="204"/>
      <c r="E1" s="16"/>
      <c r="F1" s="16"/>
      <c r="G1" s="84"/>
    </row>
    <row r="2" spans="1:8" x14ac:dyDescent="0.25">
      <c r="A2" s="204" t="s">
        <v>199</v>
      </c>
      <c r="B2" s="204"/>
      <c r="C2" s="204"/>
      <c r="D2" s="204"/>
      <c r="E2" s="16"/>
      <c r="F2" s="16"/>
      <c r="G2" s="84"/>
    </row>
    <row r="3" spans="1:8" x14ac:dyDescent="0.25">
      <c r="A3" s="204" t="s">
        <v>200</v>
      </c>
      <c r="B3" s="204"/>
      <c r="C3" s="204"/>
      <c r="D3" s="204"/>
      <c r="E3" s="16"/>
      <c r="F3" s="16"/>
      <c r="G3" s="84"/>
    </row>
    <row r="4" spans="1:8" x14ac:dyDescent="0.25">
      <c r="A4" s="205" t="s">
        <v>152</v>
      </c>
      <c r="B4" s="205"/>
      <c r="C4" s="205"/>
      <c r="D4" s="205"/>
      <c r="E4" s="75"/>
      <c r="F4" s="75"/>
      <c r="G4" s="85"/>
    </row>
    <row r="5" spans="1:8" x14ac:dyDescent="0.25">
      <c r="A5" s="204" t="s">
        <v>1</v>
      </c>
      <c r="B5" s="204"/>
      <c r="C5" s="204"/>
      <c r="D5" s="204"/>
      <c r="E5" s="16"/>
      <c r="F5" s="16"/>
      <c r="G5" s="84"/>
    </row>
    <row r="6" spans="1:8" x14ac:dyDescent="0.25">
      <c r="A6" s="204" t="s">
        <v>286</v>
      </c>
      <c r="B6" s="204"/>
      <c r="C6" s="204"/>
      <c r="D6" s="204"/>
      <c r="E6" s="16"/>
      <c r="F6" s="16"/>
      <c r="G6" s="84"/>
    </row>
    <row r="7" spans="1:8" x14ac:dyDescent="0.25">
      <c r="A7" s="204" t="s">
        <v>153</v>
      </c>
      <c r="B7" s="204"/>
      <c r="C7" s="204"/>
      <c r="D7" s="204"/>
      <c r="E7" s="16"/>
      <c r="F7" s="16"/>
      <c r="G7" s="84"/>
    </row>
    <row r="10" spans="1:8" x14ac:dyDescent="0.25">
      <c r="B10" s="19" t="s">
        <v>208</v>
      </c>
    </row>
    <row r="11" spans="1:8" x14ac:dyDescent="0.25">
      <c r="B11" t="s">
        <v>2</v>
      </c>
      <c r="D11" s="21">
        <f>+'ESTADO DE REND.'!D13</f>
        <v>392320783.54000002</v>
      </c>
    </row>
    <row r="12" spans="1:8" x14ac:dyDescent="0.25">
      <c r="B12" t="s">
        <v>209</v>
      </c>
      <c r="D12" s="21">
        <f>+'ESTADO DE REND.'!D14</f>
        <v>223146580.97999999</v>
      </c>
    </row>
    <row r="13" spans="1:8" x14ac:dyDescent="0.25">
      <c r="B13" t="s">
        <v>210</v>
      </c>
      <c r="D13" s="21">
        <f>'NOTAS (2)'!C68-'NOTAS (2)'!E68</f>
        <v>4044264.5600000024</v>
      </c>
    </row>
    <row r="14" spans="1:8" x14ac:dyDescent="0.25">
      <c r="B14" t="s">
        <v>3</v>
      </c>
      <c r="D14" s="21">
        <f>-'ESTADO DE REND.'!D21</f>
        <v>-400755.4</v>
      </c>
      <c r="F14" s="21"/>
    </row>
    <row r="15" spans="1:8" x14ac:dyDescent="0.25">
      <c r="B15" t="s">
        <v>4</v>
      </c>
      <c r="D15" s="21">
        <f>-'ESTADO DE REND.'!D20+28387218.3</f>
        <v>-286792475.36999995</v>
      </c>
      <c r="F15" s="21">
        <v>88208387.109999999</v>
      </c>
      <c r="G15" s="21" t="s">
        <v>251</v>
      </c>
      <c r="H15" t="s">
        <v>251</v>
      </c>
    </row>
    <row r="16" spans="1:8" x14ac:dyDescent="0.25">
      <c r="B16" t="s">
        <v>5</v>
      </c>
      <c r="D16" s="72">
        <f>-'NOTAS (2)'!C191</f>
        <v>-28387218.299999997</v>
      </c>
      <c r="F16" s="21" t="s">
        <v>251</v>
      </c>
      <c r="G16" s="21" t="s">
        <v>251</v>
      </c>
      <c r="H16" s="112" t="s">
        <v>251</v>
      </c>
    </row>
    <row r="17" spans="2:9" x14ac:dyDescent="0.25">
      <c r="B17" t="s">
        <v>211</v>
      </c>
      <c r="D17" s="88">
        <f>-40139171.36-312592.71-547548.66-177838887.24-4827289.12-14837557.66</f>
        <v>-238503046.75</v>
      </c>
      <c r="F17" s="21">
        <v>55743853.100000001</v>
      </c>
      <c r="G17" s="21" t="s">
        <v>251</v>
      </c>
      <c r="H17" s="21" t="s">
        <v>251</v>
      </c>
      <c r="I17" s="112" t="s">
        <v>251</v>
      </c>
    </row>
    <row r="18" spans="2:9" x14ac:dyDescent="0.25">
      <c r="B18" t="s">
        <v>212</v>
      </c>
      <c r="D18" s="88">
        <f>-'ESTADO DE REND.'!D24</f>
        <v>-33069341.469999999</v>
      </c>
      <c r="F18" s="21" t="s">
        <v>280</v>
      </c>
      <c r="G18" s="21" t="s">
        <v>251</v>
      </c>
      <c r="H18" s="112" t="s">
        <v>251</v>
      </c>
    </row>
    <row r="19" spans="2:9" s="19" customFormat="1" ht="15.75" thickBot="1" x14ac:dyDescent="0.3">
      <c r="B19" s="19" t="s">
        <v>213</v>
      </c>
      <c r="D19" s="70">
        <f>SUM(D11:D18)</f>
        <v>32358791.789999992</v>
      </c>
      <c r="F19" s="78" t="s">
        <v>251</v>
      </c>
      <c r="G19" s="78" t="s">
        <v>251</v>
      </c>
    </row>
    <row r="20" spans="2:9" ht="15.75" thickTop="1" x14ac:dyDescent="0.25">
      <c r="F20" s="21"/>
    </row>
    <row r="21" spans="2:9" x14ac:dyDescent="0.25">
      <c r="B21" s="19" t="s">
        <v>214</v>
      </c>
    </row>
    <row r="22" spans="2:9" x14ac:dyDescent="0.25">
      <c r="B22" t="s">
        <v>215</v>
      </c>
      <c r="D22" s="88">
        <v>-2398658.5699999998</v>
      </c>
    </row>
    <row r="23" spans="2:9" x14ac:dyDescent="0.25">
      <c r="B23" t="s">
        <v>216</v>
      </c>
      <c r="D23" s="88">
        <v>0</v>
      </c>
    </row>
    <row r="24" spans="2:9" x14ac:dyDescent="0.25">
      <c r="B24" t="s">
        <v>217</v>
      </c>
      <c r="D24" s="88">
        <v>0</v>
      </c>
      <c r="H24" s="83"/>
      <c r="I24" s="83"/>
    </row>
    <row r="25" spans="2:9" s="19" customFormat="1" ht="15.75" thickBot="1" x14ac:dyDescent="0.3">
      <c r="B25" s="19" t="s">
        <v>218</v>
      </c>
      <c r="D25" s="70">
        <f>SUM(D22:D24)</f>
        <v>-2398658.5699999998</v>
      </c>
      <c r="G25" s="78"/>
    </row>
    <row r="26" spans="2:9" ht="15.75" thickTop="1" x14ac:dyDescent="0.25"/>
    <row r="27" spans="2:9" x14ac:dyDescent="0.25">
      <c r="B27" s="82" t="s">
        <v>219</v>
      </c>
      <c r="D27" s="21">
        <f>+D19+D25</f>
        <v>29960133.219999991</v>
      </c>
    </row>
    <row r="28" spans="2:9" x14ac:dyDescent="0.25">
      <c r="B28" t="s">
        <v>220</v>
      </c>
      <c r="D28" s="21">
        <v>304586369.75</v>
      </c>
    </row>
    <row r="29" spans="2:9" s="19" customFormat="1" ht="15.75" thickBot="1" x14ac:dyDescent="0.3">
      <c r="B29" s="19" t="s">
        <v>221</v>
      </c>
      <c r="D29" s="70">
        <f>SUM(D27:D28)</f>
        <v>334546502.96999997</v>
      </c>
      <c r="G29" s="78"/>
    </row>
    <row r="30" spans="2:9" ht="15.75" thickTop="1" x14ac:dyDescent="0.25"/>
    <row r="32" spans="2:9" x14ac:dyDescent="0.25">
      <c r="D32" s="21">
        <f>D29</f>
        <v>334546502.96999997</v>
      </c>
    </row>
    <row r="33" spans="1:7" x14ac:dyDescent="0.25">
      <c r="D33" s="21">
        <v>338063345.01999998</v>
      </c>
    </row>
    <row r="34" spans="1:7" x14ac:dyDescent="0.25">
      <c r="D34" s="21">
        <f>D33-D32</f>
        <v>3516842.0500000119</v>
      </c>
    </row>
    <row r="36" spans="1:7" x14ac:dyDescent="0.25">
      <c r="A36" s="206" t="s">
        <v>191</v>
      </c>
      <c r="B36" s="206"/>
      <c r="C36" s="206"/>
      <c r="D36" s="206"/>
      <c r="E36" s="81"/>
      <c r="F36" s="81"/>
      <c r="G36" s="86"/>
    </row>
    <row r="37" spans="1:7" x14ac:dyDescent="0.25">
      <c r="A37" s="206" t="s">
        <v>192</v>
      </c>
      <c r="B37" s="206"/>
      <c r="C37" s="206"/>
      <c r="D37" s="206"/>
      <c r="E37" s="81"/>
      <c r="F37" s="81"/>
      <c r="G37" s="86"/>
    </row>
    <row r="38" spans="1:7" x14ac:dyDescent="0.25">
      <c r="B38" t="s">
        <v>322</v>
      </c>
      <c r="D38"/>
    </row>
    <row r="39" spans="1:7" x14ac:dyDescent="0.25">
      <c r="D39"/>
    </row>
    <row r="40" spans="1:7" x14ac:dyDescent="0.25">
      <c r="D40"/>
    </row>
    <row r="41" spans="1:7" x14ac:dyDescent="0.25">
      <c r="A41" s="81" t="s">
        <v>194</v>
      </c>
      <c r="B41" s="81"/>
      <c r="C41" s="206" t="s">
        <v>193</v>
      </c>
      <c r="D41" s="206"/>
      <c r="E41" s="81"/>
      <c r="F41" s="81"/>
      <c r="G41" s="86"/>
    </row>
    <row r="42" spans="1:7" x14ac:dyDescent="0.25">
      <c r="A42" s="81" t="s">
        <v>195</v>
      </c>
      <c r="B42" s="81"/>
      <c r="C42" s="206" t="s">
        <v>196</v>
      </c>
      <c r="D42" s="206"/>
      <c r="E42" s="81"/>
      <c r="F42" s="81"/>
      <c r="G42" s="86"/>
    </row>
    <row r="43" spans="1:7" x14ac:dyDescent="0.25">
      <c r="D43"/>
    </row>
    <row r="46" spans="1:7" x14ac:dyDescent="0.25">
      <c r="A46" t="s">
        <v>239</v>
      </c>
    </row>
    <row r="78" spans="2:2" x14ac:dyDescent="0.25">
      <c r="B78" s="19" t="s">
        <v>318</v>
      </c>
    </row>
    <row r="79" spans="2:2" x14ac:dyDescent="0.25">
      <c r="B79" s="19" t="s">
        <v>319</v>
      </c>
    </row>
    <row r="80" spans="2:2" x14ac:dyDescent="0.25">
      <c r="B80" s="19" t="s">
        <v>320</v>
      </c>
    </row>
    <row r="83" spans="2:2" x14ac:dyDescent="0.25">
      <c r="B83" s="19" t="s">
        <v>321</v>
      </c>
    </row>
    <row r="85" spans="2:2" x14ac:dyDescent="0.25">
      <c r="B85" t="s">
        <v>323</v>
      </c>
    </row>
    <row r="86" spans="2:2" x14ac:dyDescent="0.25">
      <c r="B86" t="s">
        <v>324</v>
      </c>
    </row>
  </sheetData>
  <mergeCells count="11">
    <mergeCell ref="A36:D36"/>
    <mergeCell ref="A37:D37"/>
    <mergeCell ref="C41:D41"/>
    <mergeCell ref="C42:D42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scale="88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16" workbookViewId="0">
      <selection activeCell="D14" sqref="D14"/>
    </sheetView>
  </sheetViews>
  <sheetFormatPr baseColWidth="10" defaultColWidth="19.28515625" defaultRowHeight="15" x14ac:dyDescent="0.25"/>
  <cols>
    <col min="3" max="3" width="11.140625" customWidth="1"/>
    <col min="5" max="5" width="2.7109375" customWidth="1"/>
  </cols>
  <sheetData>
    <row r="1" spans="1:9" x14ac:dyDescent="0.25">
      <c r="A1" s="204" t="s">
        <v>198</v>
      </c>
      <c r="B1" s="204"/>
      <c r="C1" s="204"/>
      <c r="D1" s="204"/>
      <c r="E1" s="204"/>
      <c r="F1" s="204"/>
    </row>
    <row r="2" spans="1:9" x14ac:dyDescent="0.25">
      <c r="A2" s="204" t="s">
        <v>199</v>
      </c>
      <c r="B2" s="204"/>
      <c r="C2" s="204"/>
      <c r="D2" s="204"/>
      <c r="E2" s="204"/>
      <c r="F2" s="204"/>
    </row>
    <row r="3" spans="1:9" x14ac:dyDescent="0.25">
      <c r="A3" s="204" t="s">
        <v>200</v>
      </c>
      <c r="B3" s="204"/>
      <c r="C3" s="204"/>
      <c r="D3" s="204"/>
      <c r="E3" s="204"/>
      <c r="F3" s="204"/>
    </row>
    <row r="4" spans="1:9" x14ac:dyDescent="0.25">
      <c r="A4" s="205" t="s">
        <v>152</v>
      </c>
      <c r="B4" s="205"/>
      <c r="C4" s="205"/>
      <c r="D4" s="205"/>
      <c r="E4" s="205"/>
      <c r="F4" s="205"/>
    </row>
    <row r="5" spans="1:9" x14ac:dyDescent="0.25">
      <c r="A5" s="204" t="s">
        <v>0</v>
      </c>
      <c r="B5" s="204"/>
      <c r="C5" s="204"/>
      <c r="D5" s="204"/>
      <c r="E5" s="204"/>
      <c r="F5" s="204"/>
    </row>
    <row r="6" spans="1:9" x14ac:dyDescent="0.25">
      <c r="A6" s="204" t="s">
        <v>285</v>
      </c>
      <c r="B6" s="204"/>
      <c r="C6" s="204"/>
      <c r="D6" s="204"/>
      <c r="E6" s="204"/>
      <c r="F6" s="204"/>
    </row>
    <row r="7" spans="1:9" x14ac:dyDescent="0.25">
      <c r="A7" s="204" t="s">
        <v>153</v>
      </c>
      <c r="B7" s="204"/>
      <c r="C7" s="204"/>
      <c r="D7" s="204"/>
      <c r="E7" s="204"/>
      <c r="F7" s="204"/>
    </row>
    <row r="8" spans="1:9" x14ac:dyDescent="0.25">
      <c r="A8" s="207"/>
      <c r="B8" s="207"/>
      <c r="C8" s="207"/>
      <c r="D8" s="207"/>
      <c r="E8" s="207"/>
      <c r="F8" s="207"/>
    </row>
    <row r="9" spans="1:9" x14ac:dyDescent="0.25">
      <c r="A9" s="67"/>
      <c r="B9" s="67"/>
      <c r="C9" s="67"/>
      <c r="D9" s="67"/>
      <c r="E9" s="67"/>
      <c r="F9" s="67"/>
    </row>
    <row r="10" spans="1:9" x14ac:dyDescent="0.25">
      <c r="A10" s="208"/>
      <c r="B10" s="208"/>
      <c r="C10" s="208"/>
      <c r="D10" s="208"/>
      <c r="E10" s="208"/>
      <c r="F10" s="208"/>
    </row>
    <row r="11" spans="1:9" x14ac:dyDescent="0.25">
      <c r="A11" s="17"/>
      <c r="B11" s="17"/>
      <c r="C11" s="17"/>
      <c r="D11" s="17">
        <v>2020</v>
      </c>
      <c r="E11" s="17" t="s">
        <v>251</v>
      </c>
      <c r="F11" s="68">
        <v>2019</v>
      </c>
      <c r="I11" s="83" t="s">
        <v>251</v>
      </c>
    </row>
    <row r="12" spans="1:9" x14ac:dyDescent="0.25">
      <c r="A12" s="13" t="s">
        <v>155</v>
      </c>
      <c r="D12" t="s">
        <v>251</v>
      </c>
      <c r="I12" s="18" t="s">
        <v>251</v>
      </c>
    </row>
    <row r="13" spans="1:9" x14ac:dyDescent="0.25">
      <c r="A13" s="14" t="s">
        <v>156</v>
      </c>
      <c r="D13" s="73">
        <f>+'NOTAS (2)'!C136</f>
        <v>392320783.54000002</v>
      </c>
      <c r="F13" s="18">
        <v>762199937.04999995</v>
      </c>
      <c r="G13" s="18">
        <f>D13-F13</f>
        <v>-369879153.50999993</v>
      </c>
      <c r="I13" s="112" t="s">
        <v>251</v>
      </c>
    </row>
    <row r="14" spans="1:9" x14ac:dyDescent="0.25">
      <c r="A14" s="14" t="s">
        <v>157</v>
      </c>
      <c r="D14" s="18">
        <f>'NOTAS (2)'!C142</f>
        <v>223146580.97999999</v>
      </c>
      <c r="F14" s="18">
        <v>230845596.77000001</v>
      </c>
      <c r="G14" s="118">
        <f t="shared" ref="G14:G27" si="0">D14-F14</f>
        <v>-7699015.7900000215</v>
      </c>
      <c r="I14" s="112" t="s">
        <v>251</v>
      </c>
    </row>
    <row r="15" spans="1:9" s="19" customFormat="1" ht="15.75" thickBot="1" x14ac:dyDescent="0.3">
      <c r="A15" s="13" t="s">
        <v>158</v>
      </c>
      <c r="D15" s="20">
        <f>SUM(D13:D14)</f>
        <v>615467364.51999998</v>
      </c>
      <c r="F15" s="20">
        <f>SUM(F13:F14)</f>
        <v>993045533.81999993</v>
      </c>
      <c r="G15" s="119">
        <f t="shared" si="0"/>
        <v>-377578169.29999995</v>
      </c>
      <c r="I15" s="117" t="s">
        <v>251</v>
      </c>
    </row>
    <row r="16" spans="1:9" x14ac:dyDescent="0.25">
      <c r="G16" s="18" t="s">
        <v>251</v>
      </c>
      <c r="I16" t="s">
        <v>251</v>
      </c>
    </row>
    <row r="17" spans="1:10" x14ac:dyDescent="0.25">
      <c r="G17" s="18" t="s">
        <v>251</v>
      </c>
      <c r="H17" t="s">
        <v>251</v>
      </c>
    </row>
    <row r="18" spans="1:10" x14ac:dyDescent="0.25">
      <c r="G18" s="18" t="s">
        <v>251</v>
      </c>
      <c r="H18" t="s">
        <v>251</v>
      </c>
    </row>
    <row r="19" spans="1:10" x14ac:dyDescent="0.25">
      <c r="A19" s="19" t="s">
        <v>159</v>
      </c>
      <c r="F19" t="s">
        <v>251</v>
      </c>
      <c r="G19" s="18" t="s">
        <v>251</v>
      </c>
      <c r="H19" s="21" t="s">
        <v>251</v>
      </c>
      <c r="I19" s="21">
        <v>55770725.859999999</v>
      </c>
      <c r="J19" s="21">
        <v>55770725.859999999</v>
      </c>
    </row>
    <row r="20" spans="1:10" x14ac:dyDescent="0.25">
      <c r="A20" t="s">
        <v>160</v>
      </c>
      <c r="D20" s="21">
        <f>'NOTAS (2)'!C155</f>
        <v>315179693.66999996</v>
      </c>
      <c r="F20" s="21">
        <v>397067103.16000003</v>
      </c>
      <c r="G20" s="18">
        <f t="shared" si="0"/>
        <v>-81887409.490000069</v>
      </c>
      <c r="H20" t="s">
        <v>251</v>
      </c>
      <c r="I20" s="21">
        <v>48244030.159999996</v>
      </c>
      <c r="J20" s="21">
        <v>48244030.159999996</v>
      </c>
    </row>
    <row r="21" spans="1:10" x14ac:dyDescent="0.25">
      <c r="A21" t="s">
        <v>161</v>
      </c>
      <c r="D21" s="21">
        <f>+'NOTAS (2)'!C199</f>
        <v>400755.4</v>
      </c>
      <c r="F21" s="21">
        <v>926922.15</v>
      </c>
      <c r="G21" s="18">
        <f t="shared" si="0"/>
        <v>-526166.75</v>
      </c>
      <c r="H21" t="s">
        <v>251</v>
      </c>
      <c r="I21" s="21">
        <v>52418758.240000002</v>
      </c>
      <c r="J21" s="21">
        <v>52418758.240000002</v>
      </c>
    </row>
    <row r="22" spans="1:10" x14ac:dyDescent="0.25">
      <c r="A22" t="s">
        <v>162</v>
      </c>
      <c r="D22" s="21">
        <f>+'NOTAS (2)'!C216</f>
        <v>217243725.59000003</v>
      </c>
      <c r="F22" s="21">
        <v>453582991.60000002</v>
      </c>
      <c r="G22" s="18">
        <f t="shared" si="0"/>
        <v>-236339266.00999999</v>
      </c>
      <c r="H22" s="21" t="s">
        <v>251</v>
      </c>
      <c r="I22" s="21">
        <v>49495653.25</v>
      </c>
      <c r="J22" s="21">
        <v>49495653.25</v>
      </c>
    </row>
    <row r="23" spans="1:10" x14ac:dyDescent="0.25">
      <c r="A23" s="82" t="s">
        <v>163</v>
      </c>
      <c r="D23" s="21">
        <f>'NOTAS (2)'!N227</f>
        <v>14837557.657721698</v>
      </c>
      <c r="F23" s="21">
        <v>24001454</v>
      </c>
      <c r="G23" s="18">
        <f t="shared" si="0"/>
        <v>-9163896.3422783017</v>
      </c>
      <c r="H23" s="21" t="s">
        <v>251</v>
      </c>
      <c r="I23" s="21">
        <v>24229230.559999999</v>
      </c>
      <c r="J23" s="21">
        <v>28914720.600000001</v>
      </c>
    </row>
    <row r="24" spans="1:10" x14ac:dyDescent="0.25">
      <c r="A24" t="s">
        <v>164</v>
      </c>
      <c r="D24" s="21">
        <f>+'NOTAS (2)'!C241</f>
        <v>33069341.469999999</v>
      </c>
      <c r="F24" s="21">
        <v>45550259.130000003</v>
      </c>
      <c r="G24" s="118">
        <f t="shared" si="0"/>
        <v>-12480917.660000004</v>
      </c>
      <c r="H24" s="21" t="s">
        <v>251</v>
      </c>
      <c r="I24" s="78">
        <f>SUM(I19:I23)</f>
        <v>230158398.06999999</v>
      </c>
      <c r="J24" s="78">
        <f>SUM(J19:J23)</f>
        <v>234843888.10999998</v>
      </c>
    </row>
    <row r="25" spans="1:10" s="19" customFormat="1" ht="15.75" thickBot="1" x14ac:dyDescent="0.3">
      <c r="A25" s="19" t="s">
        <v>165</v>
      </c>
      <c r="D25" s="22">
        <f>SUM(D20:D24)</f>
        <v>580731073.78772163</v>
      </c>
      <c r="F25" s="22">
        <f>SUM(F20:F24)</f>
        <v>921128730.04000008</v>
      </c>
      <c r="G25" s="120">
        <f t="shared" si="0"/>
        <v>-340397656.25227845</v>
      </c>
      <c r="H25" s="78" t="s">
        <v>251</v>
      </c>
      <c r="I25" s="78"/>
      <c r="J25" s="78">
        <f>J24-J23</f>
        <v>205929167.50999999</v>
      </c>
    </row>
    <row r="26" spans="1:10" x14ac:dyDescent="0.25">
      <c r="C26" s="21" t="s">
        <v>251</v>
      </c>
      <c r="G26" s="18">
        <f t="shared" si="0"/>
        <v>0</v>
      </c>
      <c r="H26" s="112" t="s">
        <v>251</v>
      </c>
      <c r="I26" s="21"/>
    </row>
    <row r="27" spans="1:10" s="19" customFormat="1" ht="15.75" thickBot="1" x14ac:dyDescent="0.3">
      <c r="A27" s="19" t="s">
        <v>166</v>
      </c>
      <c r="D27" s="23">
        <f>+D15-D25</f>
        <v>34736290.732278347</v>
      </c>
      <c r="F27" s="23">
        <f>+F15-F25</f>
        <v>71916803.779999852</v>
      </c>
      <c r="G27" s="121">
        <f t="shared" si="0"/>
        <v>-37180513.047721505</v>
      </c>
      <c r="I27" s="78"/>
    </row>
    <row r="28" spans="1:10" ht="15.75" thickTop="1" x14ac:dyDescent="0.25">
      <c r="I28" s="21"/>
    </row>
    <row r="33" spans="1:6" x14ac:dyDescent="0.25">
      <c r="A33" s="206" t="s">
        <v>632</v>
      </c>
      <c r="B33" s="206"/>
      <c r="C33" s="206"/>
      <c r="D33" s="206"/>
      <c r="E33" s="206"/>
      <c r="F33" s="206"/>
    </row>
    <row r="34" spans="1:6" x14ac:dyDescent="0.25">
      <c r="A34" s="206" t="s">
        <v>192</v>
      </c>
      <c r="B34" s="206"/>
      <c r="C34" s="206"/>
      <c r="D34" s="206"/>
      <c r="E34" s="206"/>
      <c r="F34" s="206"/>
    </row>
    <row r="37" spans="1:6" x14ac:dyDescent="0.25">
      <c r="A37" s="206" t="s">
        <v>633</v>
      </c>
      <c r="B37" s="206"/>
      <c r="D37" s="206" t="s">
        <v>193</v>
      </c>
      <c r="E37" s="206"/>
      <c r="F37" s="206"/>
    </row>
    <row r="38" spans="1:6" x14ac:dyDescent="0.25">
      <c r="A38" s="206" t="s">
        <v>634</v>
      </c>
      <c r="B38" s="206"/>
      <c r="D38" s="206" t="s">
        <v>196</v>
      </c>
      <c r="E38" s="206"/>
      <c r="F38" s="206"/>
    </row>
    <row r="43" spans="1:6" x14ac:dyDescent="0.25">
      <c r="A43" t="s">
        <v>197</v>
      </c>
    </row>
    <row r="78" spans="2:2" x14ac:dyDescent="0.25">
      <c r="B78" s="19" t="s">
        <v>318</v>
      </c>
    </row>
    <row r="79" spans="2:2" x14ac:dyDescent="0.25">
      <c r="B79" s="19" t="s">
        <v>319</v>
      </c>
    </row>
    <row r="80" spans="2:2" x14ac:dyDescent="0.25">
      <c r="B80" s="19" t="s">
        <v>320</v>
      </c>
    </row>
    <row r="83" spans="2:2" x14ac:dyDescent="0.25">
      <c r="B83" s="19" t="s">
        <v>321</v>
      </c>
    </row>
    <row r="85" spans="2:2" x14ac:dyDescent="0.25">
      <c r="B85" t="s">
        <v>323</v>
      </c>
    </row>
    <row r="86" spans="2:2" x14ac:dyDescent="0.25">
      <c r="B86" t="s">
        <v>324</v>
      </c>
    </row>
  </sheetData>
  <mergeCells count="15">
    <mergeCell ref="A38:B38"/>
    <mergeCell ref="D37:F37"/>
    <mergeCell ref="D38:F38"/>
    <mergeCell ref="A1:F1"/>
    <mergeCell ref="A4:F4"/>
    <mergeCell ref="A5:F5"/>
    <mergeCell ref="A6:F6"/>
    <mergeCell ref="A7:F7"/>
    <mergeCell ref="A8:F8"/>
    <mergeCell ref="A10:F10"/>
    <mergeCell ref="A3:F3"/>
    <mergeCell ref="A2:F2"/>
    <mergeCell ref="A33:F33"/>
    <mergeCell ref="A34:F34"/>
    <mergeCell ref="A37:B37"/>
  </mergeCells>
  <pageMargins left="0.7" right="0.7" top="0.75" bottom="0.75" header="0.3" footer="0.3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Notas 7 - 21</vt:lpstr>
      <vt:lpstr>Hoja2</vt:lpstr>
      <vt:lpstr>Notas 1 - 6</vt:lpstr>
      <vt:lpstr>P, P Y E</vt:lpstr>
      <vt:lpstr>BALANCE GENERAL</vt:lpstr>
      <vt:lpstr>EST. CAMBIO</vt:lpstr>
      <vt:lpstr>NOTAS (2)</vt:lpstr>
      <vt:lpstr>EST. FLUJO</vt:lpstr>
      <vt:lpstr>ESTADO DE REND.</vt:lpstr>
      <vt:lpstr>EST. COMP.</vt:lpstr>
      <vt:lpstr>Hoja2!Área_de_impresión</vt:lpstr>
      <vt:lpstr>'NOTAS (2)'!Área_de_impresión</vt:lpstr>
      <vt:lpstr>'BALANCE GENERAL'!Títulos_a_imprimir</vt:lpstr>
      <vt:lpstr>'NOTAS (2)'!Títulos_a_imprimir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2022-02-23T20:23:41Z</cp:lastPrinted>
  <dcterms:created xsi:type="dcterms:W3CDTF">2018-05-02T13:48:18Z</dcterms:created>
  <dcterms:modified xsi:type="dcterms:W3CDTF">2022-02-23T20:24:38Z</dcterms:modified>
</cp:coreProperties>
</file>