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065" tabRatio="917" firstSheet="2" activeTab="5"/>
  </bookViews>
  <sheets>
    <sheet name="Notas E. F=1-6" sheetId="38" r:id="rId1"/>
    <sheet name="Nota PPE" sheetId="40" r:id="rId2"/>
    <sheet name="NOTAS ojo 7-21" sheetId="41" r:id="rId3"/>
    <sheet name="NOTAS (2)" sheetId="31" r:id="rId4"/>
    <sheet name="CTAS&gt; POR PAGAR" sheetId="39" r:id="rId5"/>
    <sheet name="BALANCE GENERAL" sheetId="29" r:id="rId6"/>
    <sheet name="Hoja1" sheetId="42" r:id="rId7"/>
    <sheet name="EST. CAMBIO" sheetId="32" r:id="rId8"/>
    <sheet name="ESTADO DE REND." sheetId="30" r:id="rId9"/>
    <sheet name="EST. FLUJO" sheetId="33" r:id="rId10"/>
    <sheet name="EST. COMP." sheetId="34" r:id="rId11"/>
  </sheets>
  <externalReferences>
    <externalReference r:id="rId12"/>
    <externalReference r:id="rId13"/>
    <externalReference r:id="rId14"/>
  </externalReferences>
  <definedNames>
    <definedName name="_xlnm._FilterDatabase" localSheetId="4" hidden="1">'CTAS&gt; POR PAGAR'!$B$10:$H$134</definedName>
    <definedName name="_xlnm.Print_Area" localSheetId="7">'EST. CAMBIO'!$A$1:$G$39</definedName>
    <definedName name="_xlnm.Print_Area" localSheetId="0">'Notas E. F=1-6'!$A$1:$J$660</definedName>
    <definedName name="_xlnm.Print_Area" localSheetId="2">'NOTAS ojo 7-21'!$B$329:$G$362</definedName>
    <definedName name="_xlnm.Print_Titles" localSheetId="5">'BALANCE GENERAL'!$1:$12</definedName>
    <definedName name="_xlnm.Print_Titles" localSheetId="3">'NOTAS (2)'!$3:$3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1" i="39" l="1"/>
  <c r="D41" i="42" l="1"/>
  <c r="D40" i="42"/>
  <c r="D39" i="42"/>
  <c r="D33" i="42"/>
  <c r="D32" i="42"/>
  <c r="D25" i="42"/>
  <c r="D26" i="42" s="1"/>
  <c r="D21" i="42"/>
  <c r="D20" i="42"/>
  <c r="D19" i="42"/>
  <c r="D18" i="42"/>
  <c r="D22" i="42" l="1"/>
  <c r="D28" i="42" s="1"/>
  <c r="D42" i="42"/>
  <c r="D34" i="42"/>
  <c r="D36" i="42" s="1"/>
  <c r="C21" i="33"/>
  <c r="C20" i="33"/>
  <c r="D44" i="42" l="1"/>
  <c r="E28" i="30"/>
  <c r="E26" i="30"/>
  <c r="E24" i="30"/>
  <c r="E17" i="30"/>
  <c r="E219" i="31"/>
  <c r="E147" i="31"/>
  <c r="E155" i="31"/>
  <c r="E158" i="31"/>
  <c r="E119" i="31"/>
  <c r="E71" i="31"/>
  <c r="C19" i="33" l="1"/>
  <c r="C22" i="33"/>
  <c r="G136" i="31" l="1"/>
  <c r="D325" i="41" l="1"/>
  <c r="E284" i="41"/>
  <c r="F284" i="41" s="1"/>
  <c r="D285" i="41"/>
  <c r="C285" i="41"/>
  <c r="C257" i="41"/>
  <c r="C216" i="41"/>
  <c r="C215" i="41"/>
  <c r="H155" i="41" l="1"/>
  <c r="E152" i="41"/>
  <c r="D152" i="41"/>
  <c r="C152" i="41"/>
  <c r="C147" i="41"/>
  <c r="C148" i="41" s="1"/>
  <c r="C153" i="41" s="1"/>
  <c r="D139" i="41"/>
  <c r="C139" i="41"/>
  <c r="F138" i="41"/>
  <c r="D134" i="41"/>
  <c r="F134" i="41" s="1"/>
  <c r="F133" i="41"/>
  <c r="F29" i="40"/>
  <c r="E29" i="40"/>
  <c r="D29" i="40"/>
  <c r="C29" i="40"/>
  <c r="F28" i="40"/>
  <c r="E28" i="40"/>
  <c r="D28" i="40"/>
  <c r="C28" i="40"/>
  <c r="F27" i="40"/>
  <c r="F26" i="40"/>
  <c r="F23" i="40"/>
  <c r="F22" i="40"/>
  <c r="F24" i="40" s="1"/>
  <c r="E24" i="40"/>
  <c r="D24" i="40"/>
  <c r="C23" i="40"/>
  <c r="C24" i="40" s="1"/>
  <c r="D106" i="41"/>
  <c r="F139" i="41" l="1"/>
  <c r="C83" i="41"/>
  <c r="C41" i="41"/>
  <c r="D10" i="40" l="1"/>
  <c r="C16" i="33" l="1"/>
  <c r="O116" i="31"/>
  <c r="O115" i="31"/>
  <c r="O231" i="31" l="1"/>
  <c r="O230" i="31"/>
  <c r="O228" i="31"/>
  <c r="O227" i="31"/>
  <c r="O80" i="31"/>
  <c r="O166" i="31"/>
  <c r="Q157" i="31"/>
  <c r="L157" i="31"/>
  <c r="K157" i="31"/>
  <c r="R188" i="31"/>
  <c r="R157" i="31" s="1"/>
  <c r="Q188" i="31"/>
  <c r="P188" i="31"/>
  <c r="P157" i="31" s="1"/>
  <c r="O188" i="31"/>
  <c r="O157" i="31" s="1"/>
  <c r="N188" i="31"/>
  <c r="N157" i="31" s="1"/>
  <c r="M188" i="31"/>
  <c r="M157" i="31" s="1"/>
  <c r="L188" i="31"/>
  <c r="K188" i="31"/>
  <c r="J188" i="31"/>
  <c r="J157" i="31" s="1"/>
  <c r="I188" i="31"/>
  <c r="I157" i="31" s="1"/>
  <c r="H188" i="31"/>
  <c r="H157" i="31" s="1"/>
  <c r="G188" i="31"/>
  <c r="G157" i="31" s="1"/>
  <c r="E188" i="31"/>
  <c r="C187" i="31"/>
  <c r="O136" i="31" l="1"/>
  <c r="O135" i="31"/>
  <c r="O18" i="31"/>
  <c r="O26" i="31"/>
  <c r="F137" i="41" l="1"/>
  <c r="C246" i="31" l="1"/>
  <c r="C245" i="31"/>
  <c r="C244" i="31"/>
  <c r="C243" i="31"/>
  <c r="C242" i="31"/>
  <c r="C241" i="31"/>
  <c r="C240" i="31"/>
  <c r="C239" i="31"/>
  <c r="C238" i="31"/>
  <c r="C231" i="31"/>
  <c r="C230" i="31"/>
  <c r="C229" i="31"/>
  <c r="C228" i="31"/>
  <c r="C227" i="31"/>
  <c r="C220" i="31"/>
  <c r="C219" i="31"/>
  <c r="C218" i="31"/>
  <c r="C217" i="31"/>
  <c r="C216" i="31"/>
  <c r="C215" i="31"/>
  <c r="C214" i="31"/>
  <c r="C213" i="31"/>
  <c r="C212" i="31"/>
  <c r="C211" i="31"/>
  <c r="C203" i="31"/>
  <c r="C202" i="31"/>
  <c r="C195" i="31"/>
  <c r="C194" i="31"/>
  <c r="C193" i="31"/>
  <c r="C186" i="31"/>
  <c r="C185" i="31"/>
  <c r="C184" i="31"/>
  <c r="C183" i="31"/>
  <c r="C176" i="31"/>
  <c r="C175" i="31"/>
  <c r="C174" i="31"/>
  <c r="C167" i="31"/>
  <c r="C166" i="31"/>
  <c r="C147" i="31"/>
  <c r="C140" i="31"/>
  <c r="C139" i="31"/>
  <c r="C138" i="31"/>
  <c r="C137" i="31"/>
  <c r="C136" i="31"/>
  <c r="C135" i="31"/>
  <c r="C118" i="31"/>
  <c r="C117" i="31"/>
  <c r="C116" i="31"/>
  <c r="C115" i="31"/>
  <c r="C114" i="31"/>
  <c r="C107" i="31"/>
  <c r="C106" i="31"/>
  <c r="C105" i="31"/>
  <c r="C72" i="31"/>
  <c r="C71" i="31"/>
  <c r="C64" i="31"/>
  <c r="C63" i="31"/>
  <c r="C62" i="31"/>
  <c r="C61" i="31"/>
  <c r="C60" i="31"/>
  <c r="C59" i="31"/>
  <c r="C58" i="31"/>
  <c r="C57" i="31"/>
  <c r="C56" i="31"/>
  <c r="C55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8" i="31"/>
  <c r="C7" i="31"/>
  <c r="C6" i="31"/>
  <c r="C5" i="31"/>
  <c r="C4" i="31"/>
  <c r="C188" i="31" l="1"/>
  <c r="C157" i="31" s="1"/>
  <c r="G135" i="31"/>
  <c r="E21" i="42" l="1"/>
  <c r="C340" i="41" l="1"/>
  <c r="C339" i="41"/>
  <c r="C337" i="41"/>
  <c r="C336" i="41"/>
  <c r="F151" i="41" l="1"/>
  <c r="F150" i="41"/>
  <c r="E148" i="41"/>
  <c r="E153" i="41" s="1"/>
  <c r="D148" i="41"/>
  <c r="D153" i="41" s="1"/>
  <c r="F147" i="41"/>
  <c r="F146" i="41"/>
  <c r="E140" i="41"/>
  <c r="D140" i="41"/>
  <c r="C140" i="41"/>
  <c r="E135" i="41"/>
  <c r="D135" i="41"/>
  <c r="C135" i="41"/>
  <c r="F23" i="34"/>
  <c r="F152" i="41" l="1"/>
  <c r="F135" i="41"/>
  <c r="F148" i="41"/>
  <c r="F153" i="41" s="1"/>
  <c r="E141" i="41"/>
  <c r="C141" i="41"/>
  <c r="D141" i="41"/>
  <c r="F140" i="41"/>
  <c r="F141" i="41" l="1"/>
  <c r="N115" i="31"/>
  <c r="N116" i="31"/>
  <c r="N117" i="31"/>
  <c r="N114" i="31"/>
  <c r="N231" i="31" l="1"/>
  <c r="N230" i="31"/>
  <c r="N228" i="31"/>
  <c r="N227" i="31"/>
  <c r="N166" i="31" l="1"/>
  <c r="N18" i="31" l="1"/>
  <c r="N26" i="31"/>
  <c r="N136" i="31" l="1"/>
  <c r="N135" i="31"/>
  <c r="N80" i="31" l="1"/>
  <c r="N176" i="31"/>
  <c r="N175" i="31"/>
  <c r="N147" i="31" l="1"/>
  <c r="E27" i="30" l="1"/>
  <c r="E18" i="30"/>
  <c r="D221" i="41"/>
  <c r="D83" i="41" l="1"/>
  <c r="D28" i="41" s="1"/>
  <c r="E82" i="41"/>
  <c r="E81" i="41"/>
  <c r="E80" i="41"/>
  <c r="E79" i="41"/>
  <c r="E78" i="41"/>
  <c r="E77" i="41"/>
  <c r="C307" i="41" l="1"/>
  <c r="E167" i="31"/>
  <c r="E166" i="31"/>
  <c r="C189" i="41" l="1"/>
  <c r="C188" i="41"/>
  <c r="C187" i="41"/>
  <c r="C186" i="41"/>
  <c r="C185" i="41"/>
  <c r="C83" i="31"/>
  <c r="C82" i="31"/>
  <c r="C81" i="31"/>
  <c r="C80" i="31"/>
  <c r="C79" i="31"/>
  <c r="D108" i="41"/>
  <c r="E94" i="41" l="1"/>
  <c r="F94" i="41" s="1"/>
  <c r="E93" i="41"/>
  <c r="F93" i="41" s="1"/>
  <c r="D95" i="41"/>
  <c r="F82" i="41"/>
  <c r="F81" i="41"/>
  <c r="F77" i="41"/>
  <c r="E76" i="41"/>
  <c r="F76" i="41" s="1"/>
  <c r="E75" i="41"/>
  <c r="E63" i="41"/>
  <c r="F63" i="41" s="1"/>
  <c r="E62" i="41"/>
  <c r="F62" i="41" s="1"/>
  <c r="E61" i="41"/>
  <c r="F61" i="41" s="1"/>
  <c r="E60" i="41"/>
  <c r="E59" i="41"/>
  <c r="F59" i="41" s="1"/>
  <c r="E58" i="41"/>
  <c r="F58" i="41" s="1"/>
  <c r="E57" i="41"/>
  <c r="F57" i="41" s="1"/>
  <c r="E56" i="41"/>
  <c r="F56" i="41" s="1"/>
  <c r="E55" i="41"/>
  <c r="F55" i="41" s="1"/>
  <c r="E54" i="41"/>
  <c r="F54" i="41" s="1"/>
  <c r="E53" i="41"/>
  <c r="F53" i="41" s="1"/>
  <c r="E52" i="41"/>
  <c r="F52" i="41" s="1"/>
  <c r="E51" i="41"/>
  <c r="E50" i="41"/>
  <c r="F50" i="41" s="1"/>
  <c r="E49" i="41"/>
  <c r="F49" i="41" s="1"/>
  <c r="E48" i="41"/>
  <c r="F48" i="41" s="1"/>
  <c r="E47" i="41"/>
  <c r="F47" i="41" s="1"/>
  <c r="E46" i="41"/>
  <c r="F46" i="41" s="1"/>
  <c r="E45" i="41"/>
  <c r="F45" i="41" s="1"/>
  <c r="E44" i="41"/>
  <c r="F44" i="41" s="1"/>
  <c r="E43" i="41"/>
  <c r="E42" i="41"/>
  <c r="F42" i="41" s="1"/>
  <c r="D64" i="41"/>
  <c r="D27" i="41" s="1"/>
  <c r="E15" i="41"/>
  <c r="F15" i="41" s="1"/>
  <c r="E14" i="41"/>
  <c r="E13" i="41"/>
  <c r="F13" i="41" s="1"/>
  <c r="E12" i="41"/>
  <c r="F12" i="41" s="1"/>
  <c r="E11" i="41"/>
  <c r="F11" i="41" s="1"/>
  <c r="D16" i="41"/>
  <c r="D30" i="41" l="1"/>
  <c r="E360" i="41"/>
  <c r="F360" i="41" s="1"/>
  <c r="E359" i="41"/>
  <c r="F359" i="41" s="1"/>
  <c r="E358" i="41"/>
  <c r="F358" i="41" s="1"/>
  <c r="E357" i="41"/>
  <c r="E356" i="41"/>
  <c r="F356" i="41" s="1"/>
  <c r="E355" i="41"/>
  <c r="E354" i="41"/>
  <c r="E353" i="41"/>
  <c r="E352" i="41"/>
  <c r="F352" i="41" s="1"/>
  <c r="D361" i="41"/>
  <c r="E338" i="41" l="1"/>
  <c r="F338" i="41" s="1"/>
  <c r="D341" i="41"/>
  <c r="E340" i="41" l="1"/>
  <c r="F340" i="41" s="1"/>
  <c r="E339" i="41"/>
  <c r="F339" i="41" s="1"/>
  <c r="E337" i="41"/>
  <c r="F337" i="41" s="1"/>
  <c r="E336" i="41"/>
  <c r="F336" i="41" s="1"/>
  <c r="E326" i="41"/>
  <c r="F326" i="41" s="1"/>
  <c r="E325" i="41"/>
  <c r="F325" i="41" s="1"/>
  <c r="E324" i="41"/>
  <c r="F324" i="41" s="1"/>
  <c r="E323" i="41"/>
  <c r="F323" i="41" s="1"/>
  <c r="E322" i="41"/>
  <c r="F322" i="41" s="1"/>
  <c r="E321" i="41"/>
  <c r="F321" i="41" s="1"/>
  <c r="E320" i="41"/>
  <c r="F320" i="41" s="1"/>
  <c r="E319" i="41"/>
  <c r="F319" i="41" s="1"/>
  <c r="E318" i="41"/>
  <c r="F318" i="41" s="1"/>
  <c r="E317" i="41"/>
  <c r="F317" i="41" s="1"/>
  <c r="D327" i="41"/>
  <c r="C327" i="41"/>
  <c r="D308" i="41"/>
  <c r="E307" i="41"/>
  <c r="E306" i="41"/>
  <c r="F306" i="41" s="1"/>
  <c r="C308" i="41"/>
  <c r="E296" i="41"/>
  <c r="F296" i="41" s="1"/>
  <c r="D297" i="41"/>
  <c r="E295" i="41"/>
  <c r="F295" i="41" s="1"/>
  <c r="E283" i="41"/>
  <c r="F283" i="41" s="1"/>
  <c r="E282" i="41"/>
  <c r="F282" i="41" s="1"/>
  <c r="E281" i="41"/>
  <c r="F281" i="41" s="1"/>
  <c r="E280" i="41"/>
  <c r="E270" i="41"/>
  <c r="F270" i="41" s="1"/>
  <c r="E268" i="41"/>
  <c r="E269" i="41"/>
  <c r="F269" i="41" s="1"/>
  <c r="D271" i="41"/>
  <c r="C271" i="41"/>
  <c r="E258" i="41"/>
  <c r="F258" i="41" s="1"/>
  <c r="D259" i="41"/>
  <c r="E257" i="41"/>
  <c r="F257" i="41" s="1"/>
  <c r="E245" i="41"/>
  <c r="D231" i="41"/>
  <c r="E230" i="41"/>
  <c r="F230" i="41" s="1"/>
  <c r="E220" i="41"/>
  <c r="F220" i="41" s="1"/>
  <c r="E219" i="41"/>
  <c r="F219" i="41" s="1"/>
  <c r="E218" i="41"/>
  <c r="E217" i="41"/>
  <c r="D247" i="41" l="1"/>
  <c r="E242" i="41"/>
  <c r="E271" i="41"/>
  <c r="F271" i="41" s="1"/>
  <c r="C297" i="41"/>
  <c r="E297" i="41" s="1"/>
  <c r="F297" i="41" s="1"/>
  <c r="C259" i="41"/>
  <c r="E259" i="41" s="1"/>
  <c r="E285" i="41"/>
  <c r="F285" i="41" s="1"/>
  <c r="E327" i="41"/>
  <c r="F327" i="41" s="1"/>
  <c r="E294" i="41"/>
  <c r="F294" i="41" s="1"/>
  <c r="E308" i="41"/>
  <c r="F308" i="41" s="1"/>
  <c r="C341" i="41"/>
  <c r="E341" i="41" s="1"/>
  <c r="F341" i="41" s="1"/>
  <c r="F259" i="41" l="1"/>
  <c r="E241" i="41"/>
  <c r="E216" i="41"/>
  <c r="F216" i="41" s="1"/>
  <c r="E215" i="41"/>
  <c r="F215" i="41" s="1"/>
  <c r="C221" i="41" l="1"/>
  <c r="E204" i="41"/>
  <c r="F204" i="41" s="1"/>
  <c r="E203" i="41"/>
  <c r="F203" i="41" s="1"/>
  <c r="E202" i="41"/>
  <c r="F202" i="41" s="1"/>
  <c r="E201" i="41"/>
  <c r="F201" i="41" s="1"/>
  <c r="D205" i="41"/>
  <c r="E189" i="41"/>
  <c r="E188" i="41"/>
  <c r="E187" i="41"/>
  <c r="F187" i="41" s="1"/>
  <c r="E186" i="41"/>
  <c r="F186" i="41" s="1"/>
  <c r="E185" i="41"/>
  <c r="D190" i="41"/>
  <c r="C190" i="41" l="1"/>
  <c r="E190" i="41" s="1"/>
  <c r="F190" i="41" s="1"/>
  <c r="D174" i="41"/>
  <c r="E107" i="41"/>
  <c r="F107" i="41" s="1"/>
  <c r="E123" i="41"/>
  <c r="F123" i="41" s="1"/>
  <c r="E122" i="41"/>
  <c r="F122" i="41" s="1"/>
  <c r="E121" i="41"/>
  <c r="F121" i="41" s="1"/>
  <c r="E120" i="41"/>
  <c r="F120" i="41" s="1"/>
  <c r="E119" i="41"/>
  <c r="F119" i="41" s="1"/>
  <c r="D124" i="41"/>
  <c r="E106" i="41" l="1"/>
  <c r="F106" i="41" s="1"/>
  <c r="M26" i="31" l="1"/>
  <c r="E41" i="41" l="1"/>
  <c r="F41" i="41" s="1"/>
  <c r="C108" i="41"/>
  <c r="E108" i="41" s="1"/>
  <c r="F108" i="41" s="1"/>
  <c r="C64" i="41" l="1"/>
  <c r="C27" i="41" l="1"/>
  <c r="E27" i="41" s="1"/>
  <c r="F27" i="41" s="1"/>
  <c r="E64" i="41"/>
  <c r="F64" i="41" s="1"/>
  <c r="F20" i="32"/>
  <c r="G17" i="32"/>
  <c r="G20" i="32" s="1"/>
  <c r="L80" i="31"/>
  <c r="L84" i="31" s="1"/>
  <c r="M80" i="31"/>
  <c r="M84" i="31" s="1"/>
  <c r="R84" i="31"/>
  <c r="Q84" i="31"/>
  <c r="P84" i="31"/>
  <c r="O84" i="31"/>
  <c r="N84" i="31"/>
  <c r="K84" i="31"/>
  <c r="J84" i="31"/>
  <c r="I84" i="31"/>
  <c r="H84" i="31"/>
  <c r="G84" i="31"/>
  <c r="E84" i="31"/>
  <c r="M230" i="31"/>
  <c r="C15" i="40"/>
  <c r="D15" i="40"/>
  <c r="M227" i="31"/>
  <c r="M228" i="31"/>
  <c r="M231" i="31"/>
  <c r="M18" i="31" l="1"/>
  <c r="M166" i="31" l="1"/>
  <c r="M195" i="31"/>
  <c r="M194" i="31"/>
  <c r="M193" i="31"/>
  <c r="E16" i="40" l="1"/>
  <c r="D16" i="40"/>
  <c r="C16" i="40"/>
  <c r="F15" i="40"/>
  <c r="F14" i="40"/>
  <c r="E11" i="40"/>
  <c r="C11" i="40"/>
  <c r="D11" i="40"/>
  <c r="F9" i="40"/>
  <c r="C17" i="40" l="1"/>
  <c r="E17" i="40"/>
  <c r="D17" i="40"/>
  <c r="F16" i="40"/>
  <c r="F10" i="40"/>
  <c r="F11" i="40" s="1"/>
  <c r="F17" i="40" l="1"/>
  <c r="M136" i="31"/>
  <c r="M135" i="31"/>
  <c r="C155" i="31"/>
  <c r="C84" i="31" l="1"/>
  <c r="D20" i="29" s="1"/>
  <c r="I232" i="31"/>
  <c r="H232" i="31"/>
  <c r="C361" i="41" l="1"/>
  <c r="E361" i="41" s="1"/>
  <c r="F361" i="41" s="1"/>
  <c r="C124" i="41"/>
  <c r="C95" i="41"/>
  <c r="E124" i="41" l="1"/>
  <c r="F124" i="41" s="1"/>
  <c r="E95" i="41"/>
  <c r="F95" i="41" s="1"/>
  <c r="C29" i="41"/>
  <c r="E29" i="41" s="1"/>
  <c r="F29" i="41" s="1"/>
  <c r="J15" i="40"/>
  <c r="C205" i="41"/>
  <c r="E205" i="41" s="1"/>
  <c r="F205" i="41" s="1"/>
  <c r="E221" i="41"/>
  <c r="F221" i="41" s="1"/>
  <c r="C16" i="41"/>
  <c r="E16" i="41" s="1"/>
  <c r="F16" i="41" s="1"/>
  <c r="C28" i="41" l="1"/>
  <c r="E28" i="41" s="1"/>
  <c r="F28" i="41" s="1"/>
  <c r="E83" i="41"/>
  <c r="F83" i="41" s="1"/>
  <c r="C231" i="41"/>
  <c r="E231" i="41" s="1"/>
  <c r="F231" i="41" s="1"/>
  <c r="C30" i="41" l="1"/>
  <c r="E30" i="41" s="1"/>
  <c r="F30" i="41" s="1"/>
  <c r="L106" i="31"/>
  <c r="L105" i="31"/>
  <c r="L18" i="31" l="1"/>
  <c r="L140" i="31" l="1"/>
  <c r="K18" i="31" l="1"/>
  <c r="K136" i="31" l="1"/>
  <c r="K135" i="31"/>
  <c r="C126" i="31" l="1"/>
  <c r="C125" i="31"/>
  <c r="J18" i="31"/>
  <c r="J49" i="31" l="1"/>
  <c r="R247" i="31" l="1"/>
  <c r="Q247" i="31"/>
  <c r="P247" i="31"/>
  <c r="O247" i="31"/>
  <c r="N247" i="31"/>
  <c r="M247" i="31"/>
  <c r="L247" i="31"/>
  <c r="K247" i="31"/>
  <c r="J247" i="31"/>
  <c r="I247" i="31"/>
  <c r="E247" i="31"/>
  <c r="J135" i="31" l="1"/>
  <c r="C18" i="31" l="1"/>
  <c r="I18" i="31" l="1"/>
  <c r="I220" i="31"/>
  <c r="H140" i="31" l="1"/>
  <c r="G140" i="31"/>
  <c r="H2" i="31" l="1"/>
  <c r="H136" i="31"/>
  <c r="H135" i="31"/>
  <c r="H220" i="31"/>
  <c r="H218" i="31"/>
  <c r="H213" i="31"/>
  <c r="H245" i="31"/>
  <c r="H244" i="31"/>
  <c r="H243" i="31"/>
  <c r="G245" i="31"/>
  <c r="G18" i="31"/>
  <c r="G247" i="31" l="1"/>
  <c r="H247" i="31"/>
  <c r="R177" i="31" l="1"/>
  <c r="Q177" i="31"/>
  <c r="P177" i="31"/>
  <c r="O177" i="31"/>
  <c r="O156" i="31" s="1"/>
  <c r="N177" i="31"/>
  <c r="N156" i="31" s="1"/>
  <c r="F243" i="41" s="1"/>
  <c r="M177" i="31"/>
  <c r="L177" i="31"/>
  <c r="K177" i="31"/>
  <c r="J177" i="31"/>
  <c r="I177" i="31"/>
  <c r="H177" i="31"/>
  <c r="G177" i="31"/>
  <c r="C247" i="31" l="1"/>
  <c r="C28" i="30" s="1"/>
  <c r="Y67" i="31"/>
  <c r="Y64" i="31" l="1"/>
  <c r="Y68" i="31" l="1"/>
  <c r="X3" i="31" l="1"/>
  <c r="C29" i="33" l="1"/>
  <c r="G141" i="31"/>
  <c r="C177" i="31" l="1"/>
  <c r="O9" i="31" l="1"/>
  <c r="P9" i="31"/>
  <c r="Q9" i="31"/>
  <c r="R9" i="31"/>
  <c r="O49" i="31"/>
  <c r="O16" i="31" s="1"/>
  <c r="P49" i="31"/>
  <c r="Q49" i="31"/>
  <c r="R49" i="31"/>
  <c r="R16" i="31" s="1"/>
  <c r="O65" i="31"/>
  <c r="O17" i="31" s="1"/>
  <c r="P65" i="31"/>
  <c r="P17" i="31" s="1"/>
  <c r="Q65" i="31"/>
  <c r="Q17" i="31" s="1"/>
  <c r="R65" i="31"/>
  <c r="R17" i="31" s="1"/>
  <c r="O73" i="31"/>
  <c r="P73" i="31"/>
  <c r="Q73" i="31"/>
  <c r="R73" i="31"/>
  <c r="O108" i="31"/>
  <c r="P108" i="31"/>
  <c r="Q108" i="31"/>
  <c r="R108" i="31"/>
  <c r="O119" i="31"/>
  <c r="P119" i="31"/>
  <c r="Q119" i="31"/>
  <c r="R119" i="31"/>
  <c r="O129" i="31"/>
  <c r="P129" i="31"/>
  <c r="Q129" i="31"/>
  <c r="R129" i="31"/>
  <c r="O141" i="31"/>
  <c r="P141" i="31"/>
  <c r="Q141" i="31"/>
  <c r="R141" i="31"/>
  <c r="O148" i="31"/>
  <c r="P148" i="31"/>
  <c r="Q148" i="31"/>
  <c r="R148" i="31"/>
  <c r="O168" i="31"/>
  <c r="O154" i="31" s="1"/>
  <c r="P168" i="31"/>
  <c r="P154" i="31" s="1"/>
  <c r="Q168" i="31"/>
  <c r="Q154" i="31" s="1"/>
  <c r="R168" i="31"/>
  <c r="R154" i="31" s="1"/>
  <c r="O196" i="31"/>
  <c r="O159" i="31" s="1"/>
  <c r="P196" i="31"/>
  <c r="P159" i="31" s="1"/>
  <c r="Q196" i="31"/>
  <c r="Q159" i="31" s="1"/>
  <c r="R196" i="31"/>
  <c r="R159" i="31" s="1"/>
  <c r="O204" i="31"/>
  <c r="P204" i="31"/>
  <c r="Q204" i="31"/>
  <c r="R204" i="31"/>
  <c r="O221" i="31"/>
  <c r="P221" i="31"/>
  <c r="Q221" i="31"/>
  <c r="R221" i="31"/>
  <c r="R223" i="31" s="1"/>
  <c r="O232" i="31"/>
  <c r="P232" i="31"/>
  <c r="Q232" i="31"/>
  <c r="R232" i="31"/>
  <c r="Q160" i="31" l="1"/>
  <c r="P160" i="31"/>
  <c r="R160" i="31"/>
  <c r="O160" i="31"/>
  <c r="O19" i="31"/>
  <c r="Q16" i="31"/>
  <c r="Q19" i="31" s="1"/>
  <c r="P16" i="31"/>
  <c r="P19" i="31" s="1"/>
  <c r="R19" i="31"/>
  <c r="E25" i="29" l="1"/>
  <c r="N232" i="31" l="1"/>
  <c r="N221" i="31"/>
  <c r="N204" i="31"/>
  <c r="N196" i="31"/>
  <c r="N159" i="31" s="1"/>
  <c r="E246" i="41" s="1"/>
  <c r="F246" i="41" s="1"/>
  <c r="E244" i="41"/>
  <c r="F244" i="41" s="1"/>
  <c r="N168" i="31"/>
  <c r="N154" i="31" s="1"/>
  <c r="N148" i="31"/>
  <c r="N141" i="31"/>
  <c r="N129" i="31"/>
  <c r="N119" i="31"/>
  <c r="N108" i="31"/>
  <c r="N65" i="31"/>
  <c r="N17" i="31" s="1"/>
  <c r="N49" i="31"/>
  <c r="N16" i="31" s="1"/>
  <c r="C247" i="41" l="1"/>
  <c r="E247" i="41" s="1"/>
  <c r="F247" i="41" s="1"/>
  <c r="F241" i="41"/>
  <c r="C25" i="29"/>
  <c r="N160" i="31"/>
  <c r="N19" i="31"/>
  <c r="N20" i="31" s="1"/>
  <c r="N9" i="31"/>
  <c r="N73" i="31" l="1"/>
  <c r="M232" i="31" l="1"/>
  <c r="M235" i="31" s="1"/>
  <c r="M221" i="31"/>
  <c r="M156" i="31"/>
  <c r="M168" i="31"/>
  <c r="M154" i="31" s="1"/>
  <c r="M148" i="31"/>
  <c r="M141" i="31"/>
  <c r="M129" i="31"/>
  <c r="M119" i="31"/>
  <c r="C27" i="30" l="1"/>
  <c r="M108" i="31"/>
  <c r="M73" i="31"/>
  <c r="M65" i="31"/>
  <c r="M49" i="31"/>
  <c r="M16" i="31" s="1"/>
  <c r="M196" i="31"/>
  <c r="M159" i="31" s="1"/>
  <c r="M160" i="31" s="1"/>
  <c r="M204" i="31"/>
  <c r="M9" i="31"/>
  <c r="M67" i="31" l="1"/>
  <c r="M17" i="31"/>
  <c r="M19" i="31"/>
  <c r="J21" i="34" l="1"/>
  <c r="J22" i="34"/>
  <c r="J23" i="34"/>
  <c r="J24" i="34"/>
  <c r="J20" i="34"/>
  <c r="H21" i="34" l="1"/>
  <c r="H22" i="34"/>
  <c r="H23" i="34"/>
  <c r="H24" i="34"/>
  <c r="H20" i="34"/>
  <c r="J19" i="34"/>
  <c r="F19" i="34"/>
  <c r="D19" i="34"/>
  <c r="D16" i="34"/>
  <c r="H19" i="34" l="1"/>
  <c r="D25" i="34"/>
  <c r="G21" i="32" l="1"/>
  <c r="C24" i="32" l="1"/>
  <c r="C158" i="31" l="1"/>
  <c r="C93" i="31" l="1"/>
  <c r="H91" i="31" l="1"/>
  <c r="H92" i="31"/>
  <c r="C148" i="31" l="1"/>
  <c r="L232" i="31"/>
  <c r="K232" i="31"/>
  <c r="J232" i="31"/>
  <c r="G232" i="31"/>
  <c r="L221" i="31"/>
  <c r="J221" i="31"/>
  <c r="I221" i="31"/>
  <c r="H221" i="31"/>
  <c r="G221" i="31"/>
  <c r="L204" i="31"/>
  <c r="K204" i="31"/>
  <c r="J204" i="31"/>
  <c r="I204" i="31"/>
  <c r="H204" i="31"/>
  <c r="G204" i="31"/>
  <c r="L196" i="31"/>
  <c r="L159" i="31" s="1"/>
  <c r="K196" i="31"/>
  <c r="K159" i="31" s="1"/>
  <c r="J196" i="31"/>
  <c r="J159" i="31" s="1"/>
  <c r="I196" i="31"/>
  <c r="I159" i="31" s="1"/>
  <c r="H196" i="31"/>
  <c r="H159" i="31" s="1"/>
  <c r="G196" i="31"/>
  <c r="G159" i="31" s="1"/>
  <c r="H156" i="31"/>
  <c r="I156" i="31"/>
  <c r="J156" i="31"/>
  <c r="K156" i="31"/>
  <c r="L156" i="31"/>
  <c r="G156" i="31"/>
  <c r="H168" i="31"/>
  <c r="H154" i="31" s="1"/>
  <c r="I168" i="31"/>
  <c r="I154" i="31" s="1"/>
  <c r="J168" i="31"/>
  <c r="J154" i="31" s="1"/>
  <c r="K168" i="31"/>
  <c r="K154" i="31" s="1"/>
  <c r="L168" i="31"/>
  <c r="L154" i="31" s="1"/>
  <c r="G168" i="31"/>
  <c r="G154" i="31" s="1"/>
  <c r="L148" i="31"/>
  <c r="H148" i="31"/>
  <c r="I148" i="31"/>
  <c r="J148" i="31"/>
  <c r="K148" i="31"/>
  <c r="G148" i="31"/>
  <c r="H141" i="31"/>
  <c r="I141" i="31"/>
  <c r="J141" i="31"/>
  <c r="K141" i="31"/>
  <c r="L141" i="31"/>
  <c r="H129" i="31"/>
  <c r="I129" i="31"/>
  <c r="J129" i="31"/>
  <c r="K129" i="31"/>
  <c r="L129" i="31"/>
  <c r="G129" i="31"/>
  <c r="H119" i="31"/>
  <c r="I119" i="31"/>
  <c r="J119" i="31"/>
  <c r="K119" i="31"/>
  <c r="L119" i="31"/>
  <c r="G119" i="31"/>
  <c r="H108" i="31"/>
  <c r="I108" i="31"/>
  <c r="J108" i="31"/>
  <c r="K108" i="31"/>
  <c r="L108" i="31"/>
  <c r="G108" i="31"/>
  <c r="H73" i="31"/>
  <c r="I73" i="31"/>
  <c r="J73" i="31"/>
  <c r="K73" i="31"/>
  <c r="L73" i="31"/>
  <c r="G73" i="31"/>
  <c r="H65" i="31"/>
  <c r="H17" i="31" s="1"/>
  <c r="I65" i="31"/>
  <c r="I17" i="31" s="1"/>
  <c r="J65" i="31"/>
  <c r="J17" i="31" s="1"/>
  <c r="K65" i="31"/>
  <c r="K17" i="31" s="1"/>
  <c r="L65" i="31"/>
  <c r="G65" i="31"/>
  <c r="G17" i="31" s="1"/>
  <c r="H9" i="31"/>
  <c r="I9" i="31"/>
  <c r="J9" i="31"/>
  <c r="K9" i="31"/>
  <c r="L9" i="31"/>
  <c r="G9" i="31"/>
  <c r="H49" i="31"/>
  <c r="H16" i="31" s="1"/>
  <c r="I49" i="31"/>
  <c r="I16" i="31" s="1"/>
  <c r="J16" i="31"/>
  <c r="K49" i="31"/>
  <c r="K16" i="31" s="1"/>
  <c r="L49" i="31"/>
  <c r="L16" i="31" s="1"/>
  <c r="E232" i="31"/>
  <c r="E221" i="31"/>
  <c r="E204" i="31"/>
  <c r="E196" i="31"/>
  <c r="E177" i="31"/>
  <c r="E168" i="31"/>
  <c r="E148" i="31"/>
  <c r="E141" i="31"/>
  <c r="E19" i="30" s="1"/>
  <c r="C141" i="31"/>
  <c r="C17" i="30" s="1"/>
  <c r="E129" i="31"/>
  <c r="C119" i="31"/>
  <c r="E108" i="31"/>
  <c r="C108" i="31"/>
  <c r="C173" i="41" s="1"/>
  <c r="G98" i="31"/>
  <c r="E98" i="31"/>
  <c r="C98" i="31"/>
  <c r="H97" i="31"/>
  <c r="H96" i="31"/>
  <c r="H95" i="31"/>
  <c r="G93" i="31"/>
  <c r="E93" i="31"/>
  <c r="E73" i="31"/>
  <c r="C73" i="31"/>
  <c r="E65" i="31"/>
  <c r="E17" i="31" s="1"/>
  <c r="C65" i="31"/>
  <c r="E49" i="31"/>
  <c r="E16" i="31" s="1"/>
  <c r="E9" i="31"/>
  <c r="C9" i="31"/>
  <c r="C174" i="41" l="1"/>
  <c r="E174" i="41" s="1"/>
  <c r="F174" i="41" s="1"/>
  <c r="E173" i="41"/>
  <c r="F173" i="41" s="1"/>
  <c r="C77" i="31"/>
  <c r="E224" i="31"/>
  <c r="E33" i="29"/>
  <c r="E35" i="29" s="1"/>
  <c r="C17" i="31"/>
  <c r="C15" i="33"/>
  <c r="C149" i="31"/>
  <c r="C150" i="31" s="1"/>
  <c r="C18" i="30"/>
  <c r="C66" i="31"/>
  <c r="C67" i="31" s="1"/>
  <c r="C120" i="31"/>
  <c r="C121" i="31" s="1"/>
  <c r="C74" i="31"/>
  <c r="C75" i="31" s="1"/>
  <c r="C142" i="31"/>
  <c r="C143" i="31" s="1"/>
  <c r="C109" i="31"/>
  <c r="C110" i="31" s="1"/>
  <c r="C10" i="31"/>
  <c r="C11" i="31" s="1"/>
  <c r="C204" i="31"/>
  <c r="C196" i="31"/>
  <c r="J160" i="31"/>
  <c r="C168" i="31"/>
  <c r="C154" i="31" s="1"/>
  <c r="C232" i="31"/>
  <c r="H160" i="31"/>
  <c r="L160" i="31"/>
  <c r="G160" i="31"/>
  <c r="I160" i="31"/>
  <c r="K160" i="31"/>
  <c r="E99" i="31"/>
  <c r="C99" i="31"/>
  <c r="I19" i="31"/>
  <c r="K19" i="31"/>
  <c r="L19" i="31"/>
  <c r="J19" i="31"/>
  <c r="H19" i="31"/>
  <c r="G99" i="31"/>
  <c r="H98" i="31"/>
  <c r="H93" i="31"/>
  <c r="E160" i="31"/>
  <c r="E29" i="30" s="1"/>
  <c r="E31" i="30" s="1"/>
  <c r="E19" i="31"/>
  <c r="E21" i="29" l="1"/>
  <c r="E27" i="29" s="1"/>
  <c r="G198" i="31"/>
  <c r="C33" i="29"/>
  <c r="J18" i="34"/>
  <c r="H18" i="34"/>
  <c r="C233" i="31"/>
  <c r="C234" i="31" s="1"/>
  <c r="C156" i="31"/>
  <c r="C178" i="31"/>
  <c r="C179" i="31" s="1"/>
  <c r="C159" i="31"/>
  <c r="C197" i="31"/>
  <c r="C198" i="31" s="1"/>
  <c r="C248" i="31"/>
  <c r="C249" i="31" s="1"/>
  <c r="C169" i="31"/>
  <c r="C170" i="31" s="1"/>
  <c r="C205" i="31"/>
  <c r="C206" i="31" s="1"/>
  <c r="C25" i="30"/>
  <c r="C189" i="31"/>
  <c r="C85" i="31"/>
  <c r="C86" i="31" s="1"/>
  <c r="H99" i="31"/>
  <c r="C19" i="30"/>
  <c r="C35" i="29" l="1"/>
  <c r="C160" i="31"/>
  <c r="J17" i="34"/>
  <c r="J16" i="34" s="1"/>
  <c r="J25" i="34" s="1"/>
  <c r="F16" i="34"/>
  <c r="F25" i="34" s="1"/>
  <c r="H17" i="34"/>
  <c r="H16" i="34" s="1"/>
  <c r="C161" i="31" l="1"/>
  <c r="C162" i="31" s="1"/>
  <c r="C24" i="30"/>
  <c r="G49" i="31"/>
  <c r="G16" i="31" s="1"/>
  <c r="G19" i="31" s="1"/>
  <c r="K221" i="31"/>
  <c r="C221" i="31"/>
  <c r="C26" i="30" s="1"/>
  <c r="C23" i="33" l="1"/>
  <c r="C31" i="33" s="1"/>
  <c r="C33" i="33" s="1"/>
  <c r="C222" i="31"/>
  <c r="C223" i="31" s="1"/>
  <c r="C29" i="30"/>
  <c r="C31" i="30" l="1"/>
  <c r="F23" i="32" s="1"/>
  <c r="C129" i="31"/>
  <c r="C130" i="31" s="1"/>
  <c r="C131" i="31" s="1"/>
  <c r="F24" i="32" l="1"/>
  <c r="G23" i="32" l="1"/>
  <c r="E41" i="29" l="1"/>
  <c r="E43" i="29" s="1"/>
  <c r="G22" i="32" l="1"/>
  <c r="G24" i="32" s="1"/>
  <c r="C41" i="29" l="1"/>
  <c r="C43" i="29" s="1"/>
  <c r="C49" i="31" l="1"/>
  <c r="C16" i="31" s="1"/>
  <c r="C19" i="31" l="1"/>
  <c r="C20" i="31" s="1"/>
  <c r="C21" i="31" s="1"/>
  <c r="C50" i="31"/>
  <c r="C51" i="31" s="1"/>
  <c r="C21" i="29" l="1"/>
  <c r="C27" i="29" s="1"/>
</calcChain>
</file>

<file path=xl/sharedStrings.xml><?xml version="1.0" encoding="utf-8"?>
<sst xmlns="http://schemas.openxmlformats.org/spreadsheetml/2006/main" count="2164" uniqueCount="956">
  <si>
    <t>Estado de Rendimiento Financiero</t>
  </si>
  <si>
    <t>Estado de Flujo de Efectivo</t>
  </si>
  <si>
    <t>Cobros por venta de bienes y servicios y arrendamientos</t>
  </si>
  <si>
    <t>Pagos a otras entidades para financiar sus operaciones (Transferencias)</t>
  </si>
  <si>
    <t>Pagos a los trabajadores o en beneficio de ellos</t>
  </si>
  <si>
    <t>Pagos por contribuciones a la seguridad social</t>
  </si>
  <si>
    <t>Capital Aportado</t>
  </si>
  <si>
    <t>Resultados Acumulados</t>
  </si>
  <si>
    <t>Total Activos Netos / Patrimonio</t>
  </si>
  <si>
    <t>Presupuesto sobre la Base de Efectivo</t>
  </si>
  <si>
    <t>Descripcion</t>
  </si>
  <si>
    <t>Cuenta Unica del Tesoro</t>
  </si>
  <si>
    <t>Banco del Reservas Cta. 015-001311-6 Fondo Operacional</t>
  </si>
  <si>
    <t>Fondo de Caja (Centro)</t>
  </si>
  <si>
    <t>Total Disponible en Caja y Bancos</t>
  </si>
  <si>
    <t>Nota #8</t>
  </si>
  <si>
    <t>Cuentas por Cobrar (Nota 8-1)</t>
  </si>
  <si>
    <t>Otras Cuentas por Cobrar (Nota 8-2)</t>
  </si>
  <si>
    <t>Cuenta por Cobrar Paciente</t>
  </si>
  <si>
    <t>Nota 8-1</t>
  </si>
  <si>
    <t>ARS SENASA</t>
  </si>
  <si>
    <t>ARS SALUD SEGURA</t>
  </si>
  <si>
    <t>ARS HUMANO</t>
  </si>
  <si>
    <t>ARS UNIVERSAL</t>
  </si>
  <si>
    <t>ARS PALIC SALUD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</si>
  <si>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</si>
  <si>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</si>
  <si>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</si>
  <si>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</si>
  <si>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</si>
  <si>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</si>
  <si>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</si>
  <si>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</si>
  <si>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</si>
  <si>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</si>
  <si>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</si>
  <si>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</si>
  <si>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</si>
  <si>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</si>
  <si>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</si>
  <si>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</si>
  <si>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</si>
  <si>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Riesgo Laboral (ARL)</t>
  </si>
  <si>
    <t>SALUD PUBLICA</t>
  </si>
  <si>
    <t>PLAN SOCIAL PRESIDENCIA</t>
  </si>
  <si>
    <t>PRIMERA DAMA</t>
  </si>
  <si>
    <t>MOSCOSO PUELLO</t>
  </si>
  <si>
    <t>APOLLO BARRIAL</t>
  </si>
  <si>
    <t>Total Cuentas por Cobrar Otras Intituciones</t>
  </si>
  <si>
    <t>Nota 9</t>
  </si>
  <si>
    <t>Inventario de Mercancias (Medicamentos y Materiales Medicos)</t>
  </si>
  <si>
    <t>Inventarios de Consumo (Material Gastable)</t>
  </si>
  <si>
    <t>Total de Inventario Consumos</t>
  </si>
  <si>
    <t>Nota 10</t>
  </si>
  <si>
    <t>Seguros Para Vehiculos</t>
  </si>
  <si>
    <t>Seguros para Personas</t>
  </si>
  <si>
    <t>Seguros para Equipos</t>
  </si>
  <si>
    <t>Seguros para Edificacion</t>
  </si>
  <si>
    <t>Total Pago por Anticipados</t>
  </si>
  <si>
    <t>Nota 11</t>
  </si>
  <si>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</si>
  <si>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</si>
  <si>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</si>
  <si>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</si>
  <si>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</si>
  <si>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Retiros</t>
  </si>
  <si>
    <t>Saldo al final Periodo</t>
  </si>
  <si>
    <t>Depreciación Acumulada</t>
  </si>
  <si>
    <t>Al inicio del Periodo</t>
  </si>
  <si>
    <t>Cargo del Periodo</t>
  </si>
  <si>
    <t>Saldo al final del periodo</t>
  </si>
  <si>
    <t>Nota 12</t>
  </si>
  <si>
    <t>Proveedor de Medicamentos y Materiales Gastables</t>
  </si>
  <si>
    <t>Proveedor Laboratorio</t>
  </si>
  <si>
    <t>Proveedor Otros</t>
  </si>
  <si>
    <t>Total Cuentas por Pagar</t>
  </si>
  <si>
    <t>Nota 13</t>
  </si>
  <si>
    <t>Retencion 5%</t>
  </si>
  <si>
    <t>Retencion 10%</t>
  </si>
  <si>
    <t>ITBIS</t>
  </si>
  <si>
    <t>Retencion 2%</t>
  </si>
  <si>
    <t>Total Retencion y Acumulaciones por Pagar</t>
  </si>
  <si>
    <t>Nota 14</t>
  </si>
  <si>
    <t>Capital Institucional</t>
  </si>
  <si>
    <t>Ajustes Años Anteriores</t>
  </si>
  <si>
    <t>Resultados Periodo Anteriores</t>
  </si>
  <si>
    <t>Resultados del Periodo</t>
  </si>
  <si>
    <t>Total Patrimonio</t>
  </si>
  <si>
    <t>Nota 15</t>
  </si>
  <si>
    <t>Ingresos por SENASA</t>
  </si>
  <si>
    <t>Ingresos por Otras ARS</t>
  </si>
  <si>
    <t>Ingresos por Paciente</t>
  </si>
  <si>
    <t>Otras Contribuciones</t>
  </si>
  <si>
    <t>Otros Cafeteria</t>
  </si>
  <si>
    <t>Otros Ingresos</t>
  </si>
  <si>
    <t>Total Ingresos Operacionales</t>
  </si>
  <si>
    <t>Nota 16</t>
  </si>
  <si>
    <t>Transferencia Corrientes Recibidas</t>
  </si>
  <si>
    <t>Total Transferencias Recibidas</t>
  </si>
  <si>
    <t>Nota 17</t>
  </si>
  <si>
    <t>Remuneración al Personal con Carácter Transitorio (Nota 17-1)</t>
  </si>
  <si>
    <t xml:space="preserve">Sueldo Anual No. 13 </t>
  </si>
  <si>
    <t>Prestaciones Económicas (Nota 17-2)</t>
  </si>
  <si>
    <t>Compensación (Nota 17-3)</t>
  </si>
  <si>
    <t>Gratificación por Pasantías</t>
  </si>
  <si>
    <t>Contribuciones a la Seguridad Social (Nota 17-4)</t>
  </si>
  <si>
    <t xml:space="preserve">Total Remuneraciones </t>
  </si>
  <si>
    <t>Nota 17-1</t>
  </si>
  <si>
    <t>Sueldo Personal Contratado y/o Igualado</t>
  </si>
  <si>
    <t>Suplencias</t>
  </si>
  <si>
    <t>Total Remineracion al Personal Contratado u/o Igualado</t>
  </si>
  <si>
    <t>Nota 17-2</t>
  </si>
  <si>
    <t>Prestacion Laboral por Desvinculacion</t>
  </si>
  <si>
    <t>Proporcion de Vacasiones no Disfrutadas</t>
  </si>
  <si>
    <t>Total Pretacion Economica</t>
  </si>
  <si>
    <t>Nota 17-3</t>
  </si>
  <si>
    <t>Compensacion por Horas Extraodinarias</t>
  </si>
  <si>
    <t>Compensacion Servicios de Seguridad</t>
  </si>
  <si>
    <t>Compensacion por Resultados</t>
  </si>
  <si>
    <t>Total Compensacion</t>
  </si>
  <si>
    <t>Nota 17-4</t>
  </si>
  <si>
    <t>Contribuciones al Seguro de Salud</t>
  </si>
  <si>
    <t>Contribuciones al Seguro de Pensiones</t>
  </si>
  <si>
    <t>Contribuciones al Seguro de Riesgo Laboral</t>
  </si>
  <si>
    <t>Nota 18</t>
  </si>
  <si>
    <t>Ayudas y Donaciones Ocasionales a Hogares y Personas</t>
  </si>
  <si>
    <t>Transferencias Corrientes a Otras Instituciones</t>
  </si>
  <si>
    <t>Total Tranferencias y Donaciones Corrientes</t>
  </si>
  <si>
    <t>Nota 19</t>
  </si>
  <si>
    <t xml:space="preserve">Alimentos y Productos </t>
  </si>
  <si>
    <t xml:space="preserve">Textiles y Vestuarios </t>
  </si>
  <si>
    <t>Productos de Papel Cartón e Impresión</t>
  </si>
  <si>
    <t>Productos Farmacéuticos</t>
  </si>
  <si>
    <t>Productos de Cuero, Caucho y Plásticos</t>
  </si>
  <si>
    <t>Productos de Minerales, Metálicos y No Metálicos</t>
  </si>
  <si>
    <t>Combustible y Lubricantes</t>
  </si>
  <si>
    <t>Productos Químicos y Conexos</t>
  </si>
  <si>
    <t>Productos Médicos Quirúrgicos</t>
  </si>
  <si>
    <t>Productos y Útiles Varios</t>
  </si>
  <si>
    <t>Total Materiales y Suministros</t>
  </si>
  <si>
    <t>Nota 20</t>
  </si>
  <si>
    <t>Dep. Acum. de Muebles de Oficina</t>
  </si>
  <si>
    <t>Dep. Acum. de Computadora</t>
  </si>
  <si>
    <t>Dep. Acum. Equipos de Transporte</t>
  </si>
  <si>
    <t>Dep. Acum. de Otros Activos</t>
  </si>
  <si>
    <t>Dep. Acum. de Equipos Medico</t>
  </si>
  <si>
    <t>Total Gastos depreciación</t>
  </si>
  <si>
    <t>( VALORES ES RD$)</t>
  </si>
  <si>
    <t>Total Activos</t>
  </si>
  <si>
    <t>Ingresos (Notas 15 Y 16)</t>
  </si>
  <si>
    <t>Ingresos por Transacciones con Contraprestacion</t>
  </si>
  <si>
    <t>Tranferencias y Donaciones</t>
  </si>
  <si>
    <t>Total Ingresos</t>
  </si>
  <si>
    <t>Gastos (Notas 17, 18, 19, 20 y 21)</t>
  </si>
  <si>
    <t>Sueldos, Salarios y Beneficiarios a Empleados</t>
  </si>
  <si>
    <t>Subvenciones y Otros Pagos por Tranferencia</t>
  </si>
  <si>
    <t>Suministros y Material para Consumo</t>
  </si>
  <si>
    <t>Depreciacion y Amortizaciones</t>
  </si>
  <si>
    <t>Otros Gastos</t>
  </si>
  <si>
    <t>Total de Gastos</t>
  </si>
  <si>
    <t>Resultado del Periodo (Ahorro/Desahorro)</t>
  </si>
  <si>
    <t>NOTA 21</t>
  </si>
  <si>
    <t>Servicios Basicos</t>
  </si>
  <si>
    <t>Publicidad Impresion y Encuardernacion</t>
  </si>
  <si>
    <t>Viaticos</t>
  </si>
  <si>
    <t>Transporte y Almacenaje</t>
  </si>
  <si>
    <t>Alquileres y Rentas</t>
  </si>
  <si>
    <t>Servicios de Conservacion y Reparacion Menores</t>
  </si>
  <si>
    <t>Otros Servicios no Personales</t>
  </si>
  <si>
    <t>Total de Servicios No Persinales</t>
  </si>
  <si>
    <t>ENERO</t>
  </si>
  <si>
    <t>FEBRERO</t>
  </si>
  <si>
    <t>MARZO</t>
  </si>
  <si>
    <t>ABRIL</t>
  </si>
  <si>
    <t>MAYO</t>
  </si>
  <si>
    <t>JUNIO</t>
  </si>
  <si>
    <t>PRIMERA ARS DE HUMANO</t>
  </si>
  <si>
    <t>`03</t>
  </si>
  <si>
    <t>`04</t>
  </si>
  <si>
    <t>`01</t>
  </si>
  <si>
    <t>`02</t>
  </si>
  <si>
    <t>`05</t>
  </si>
  <si>
    <t>`06</t>
  </si>
  <si>
    <t>Costo de Adquisición 2019</t>
  </si>
  <si>
    <t>Propiedad, Planta y Equipo Neto 2020</t>
  </si>
  <si>
    <t>Director General</t>
  </si>
  <si>
    <t>Las notas corespondientes desde la 15 a la 21 son parte integral de este Estado Financiero.</t>
  </si>
  <si>
    <t>Servicio Nacional de Salud</t>
  </si>
  <si>
    <t>Servicio Regional de Salud Metropolitano</t>
  </si>
  <si>
    <t>Ciudad Sanitaria Dr. Luis E. Aybar</t>
  </si>
  <si>
    <t>Estado de Cambio de Activo Neto / Patrimonio</t>
  </si>
  <si>
    <t>Ajuste al Patrimonio</t>
  </si>
  <si>
    <t>Resultado del Periodo</t>
  </si>
  <si>
    <t>Cambio en Politicas Contables</t>
  </si>
  <si>
    <t>Cambios en Politicas Contables</t>
  </si>
  <si>
    <t>Revaluacion</t>
  </si>
  <si>
    <t>Flujo de Efectivo procedentes de actividades operativas:</t>
  </si>
  <si>
    <t>Otros Cobros</t>
  </si>
  <si>
    <t>Otros Pagos</t>
  </si>
  <si>
    <t>Flujos de efectivo netos de las actividades de operacion</t>
  </si>
  <si>
    <t>Flujos de efectivo de las Actividades de inversión</t>
  </si>
  <si>
    <t>Pagos por adquisicion de propiedad, planta y equipo</t>
  </si>
  <si>
    <t>Pagos por adquisicion de intangibles y otros activos de largo plazo</t>
  </si>
  <si>
    <t>Otros pagos</t>
  </si>
  <si>
    <t>Flujos netos por las actividades por las actividades de inversión</t>
  </si>
  <si>
    <t>Incremento/(Diminucion) neta en el efectivo y equivalente al efectivo</t>
  </si>
  <si>
    <t>Efectivo y equivalentes al efectivo al principio del periodo</t>
  </si>
  <si>
    <t>Efectivo y equivalentes al efectivo al final del periodo</t>
  </si>
  <si>
    <t>(Clasificacion de Ingresos y Gastos por Objeto)</t>
  </si>
  <si>
    <t>Concepto</t>
  </si>
  <si>
    <t>Ingresos totales</t>
  </si>
  <si>
    <t>Tranferencias</t>
  </si>
  <si>
    <t>Otros ingresos</t>
  </si>
  <si>
    <t>Gastos totales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</si>
  <si>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</si>
  <si>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</si>
  <si>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</si>
  <si>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</si>
  <si>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</si>
  <si>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Presupuesto Reformado (A)</t>
  </si>
  <si>
    <t>Presupuesto Ejecutado (B)</t>
  </si>
  <si>
    <t>% de Variacion Ejecuccion (C=B/A)</t>
  </si>
  <si>
    <t>Variacion (D=A-B)</t>
  </si>
  <si>
    <t>Resultado financiero (1-2)</t>
  </si>
  <si>
    <t>JULIO</t>
  </si>
  <si>
    <t>AGOSTO</t>
  </si>
  <si>
    <t>Estado de Situación Financiera</t>
  </si>
  <si>
    <t>Activos</t>
  </si>
  <si>
    <t>Activos Corrientes</t>
  </si>
  <si>
    <t>Efectivo Equivalente De Efectivo (Notas 7)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</si>
  <si>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</si>
  <si>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</si>
  <si>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</si>
  <si>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</si>
  <si>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</si>
  <si>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 xml:space="preserve"> </t>
  </si>
  <si>
    <t>Total Activos No Corrientes</t>
  </si>
  <si>
    <t>Pasivos</t>
  </si>
  <si>
    <t>Pasivos Corrientes</t>
  </si>
  <si>
    <t>Cuentas Por Pagar A Corto Plazo (Nota 12)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</si>
  <si>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</si>
  <si>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</si>
  <si>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</si>
  <si>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</si>
  <si>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</si>
  <si>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</si>
  <si>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</si>
  <si>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</si>
  <si>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Las notas corespondientes desde la 7 a la 14 son parte integral de este Estado Financiero.</t>
  </si>
  <si>
    <t>SEPTIEMBRE</t>
  </si>
  <si>
    <t>OCTUBRE</t>
  </si>
  <si>
    <t>NOVIEMBRE</t>
  </si>
  <si>
    <t>DICIEMBRE</t>
  </si>
  <si>
    <t>.</t>
  </si>
  <si>
    <t>Seguros</t>
  </si>
  <si>
    <t>Compensaciones Especiales</t>
  </si>
  <si>
    <t>`08</t>
  </si>
  <si>
    <t>Prestaciones Economicas</t>
  </si>
  <si>
    <t>2</t>
  </si>
  <si>
    <t>1</t>
  </si>
  <si>
    <t>5</t>
  </si>
  <si>
    <t>ARS IDOPRIL</t>
  </si>
  <si>
    <t xml:space="preserve">    </t>
  </si>
  <si>
    <t xml:space="preserve">  </t>
  </si>
  <si>
    <t xml:space="preserve">   </t>
  </si>
  <si>
    <t>Patrimonio</t>
  </si>
  <si>
    <t>SNS PACIENTE COVID-19 SIN ARS</t>
  </si>
  <si>
    <t>Banco del Reservas Cta. 015-001312-4 Fondo de Ayudas y Donaciones</t>
  </si>
  <si>
    <t>2021</t>
  </si>
  <si>
    <t>2020</t>
  </si>
  <si>
    <t xml:space="preserve">     </t>
  </si>
  <si>
    <t>08</t>
  </si>
  <si>
    <t>Retencion 30%</t>
  </si>
  <si>
    <t>º</t>
  </si>
  <si>
    <t>PACIENTES C/FACT. PENDIENTES</t>
  </si>
  <si>
    <t>PACIENTES C/ACUERDO DE PAGO</t>
  </si>
  <si>
    <t>PRESIDENCIA DE LA REPUBLICA</t>
  </si>
  <si>
    <t>Nota # 1  Entidad Económica</t>
  </si>
  <si>
    <t>Visión: Ser el mejor centro especializado en servicios quirúrgicos y trasplante del Caribe,</t>
  </si>
  <si>
    <t>Filosofía Institucional: Ofrecer servicios humanizados, con optimización, equidad y equipos de alta tecnología a todo</t>
  </si>
  <si>
    <t>el ciudadano que lo necesite.</t>
  </si>
  <si>
    <t>Objetivos Especificos:</t>
  </si>
  <si>
    <t>Conservar incrementar el nivel de calidad de la atención brindada.</t>
  </si>
  <si>
    <t>equipos médicos se refiere.</t>
  </si>
  <si>
    <t>Continuar con los operativos médicos en todo el territorio nacional.</t>
  </si>
  <si>
    <t>MARCO LEGAL</t>
  </si>
  <si>
    <t>Ley General de Salud (Ley No. 42-01) de fecha 8 de marzo del 2001, puesta en vigencia 8 de septiembre del 2001.</t>
  </si>
  <si>
    <t>Ley de Seguridad Social No. 87-01 de fecha 5 de abril del año 2001.</t>
  </si>
  <si>
    <t>Ley No. 68-03 de fecha 19 de febrero del 2003, que crea el Colegio Médico Dominicano.</t>
  </si>
  <si>
    <t>Decreto No. 1110-01 de fecha 8 de noviembre del 2001 que crea la Ciudad Sanitaria "Luís Eduardo Aybar".</t>
  </si>
  <si>
    <t>Decreto No. 434-07 que establece el Reglamento General de los Centros Especializados de Atención en Salud de las redes</t>
  </si>
  <si>
    <t>Sanitaria "Dr. Luís E. Aybar", a la unidad de cirugía Centro Cardio-Neuro Oftalmológico.</t>
  </si>
  <si>
    <t>Actualmente la gestión del CECANOT está compuesta por las siguientes autoridades:</t>
  </si>
  <si>
    <t>Dr. Felix Lorenzo Valdez Suero</t>
  </si>
  <si>
    <t>Dr. Bolivar Alcantara</t>
  </si>
  <si>
    <t>Sub-Director General</t>
  </si>
  <si>
    <t>Nota # 2  Base de Presentación</t>
  </si>
  <si>
    <t>Los Estados Financieros han sido preparados de conformidad con las normas internacionales de Contabilidad del Sector Público</t>
  </si>
  <si>
    <t>(NICSP), adoptadas por la Dirección General de Contabilidad Gubernamental de la República Dominicana (Digecog).</t>
  </si>
  <si>
    <t>El Centro  Cardio  Neuro-Oftalmológico  y  Trasplante  (CECANOT) presenta su presupuesto aprobado según la base contable de</t>
  </si>
  <si>
    <t>"Presentación de Información del Presupuesto en los Estados Financieros"</t>
  </si>
  <si>
    <t>El presupuesto se aprueba según la base contable de efectivo siguiendo una clasificación de pago por funciones. El presupuesto</t>
  </si>
  <si>
    <t>La emisión y aprobación final de los Estados Financieros debe ser autorizada por el funcionario de más alto nivel.</t>
  </si>
  <si>
    <t>Nota # 3  Moneda Funcional y de Presentación</t>
  </si>
  <si>
    <t>Los Estados Financieros están presentados en pesos dominicanos (RD$)  moneda de curso legal en República Dominicana.</t>
  </si>
  <si>
    <t>Nota # 4  Uso de Estimados y Juicios</t>
  </si>
  <si>
    <t>Las estimaciones  y  supuestos  relevantes  son  revisados  regularmente, las cuales  son   reconocidas  prospectivamente.</t>
  </si>
  <si>
    <t>Juicios</t>
  </si>
  <si>
    <t>Supuesto e Incertidumbre en las Estimaciones</t>
  </si>
  <si>
    <t>Medición de los Valores Razonables.</t>
  </si>
  <si>
    <t>Los valores se clasifican en niveles distintos dentro de una jerarquía como sigue:</t>
  </si>
  <si>
    <t>Nivel 1: Precios (no-ajustados) en mercados activos para activos o pasivos idénticos.</t>
  </si>
  <si>
    <t>Nivel 3:  Datos para el activo o pasivo que no se basan en datos de mercados observables (variables no observables).</t>
  </si>
  <si>
    <t>Nota # 5 Base de Medición</t>
  </si>
  <si>
    <t>Nota # 6  Resumen de Políticas Contables Significativas</t>
  </si>
  <si>
    <t>Disponibilidades</t>
  </si>
  <si>
    <t>Inversiones Financieras</t>
  </si>
  <si>
    <t>Cuentas y Documentos por Cobrar</t>
  </si>
  <si>
    <t>Bienes de Cambio en General</t>
  </si>
  <si>
    <t>Bienes de  Uso y Depreciación</t>
  </si>
  <si>
    <t>Los bienes adquiridos en monedas extranjeras se registran al tipo de cambio vigente a la fecha de la adquisición.</t>
  </si>
  <si>
    <t>Bienes Intangibles</t>
  </si>
  <si>
    <t>Inversiones Corrientes e Inversiiones a Largo Plazo</t>
  </si>
  <si>
    <t>Normas de Valuación de Pasivos y Patrimonio</t>
  </si>
  <si>
    <t>Deudas</t>
  </si>
  <si>
    <t>Pasivo Diferidos</t>
  </si>
  <si>
    <t>Provisiones</t>
  </si>
  <si>
    <t>Ganancias y Perdidas en Cambio y Saldos en Moneda Extranjera</t>
  </si>
  <si>
    <t>Cuentas de Orden</t>
  </si>
  <si>
    <t>ACTIVOS</t>
  </si>
  <si>
    <t>NOTA J# 7   Efectivo y Equivalente de efectivo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</si>
  <si>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</si>
  <si>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</si>
  <si>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</si>
  <si>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</si>
  <si>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`</t>
  </si>
  <si>
    <t>Cuentas por Cobrar ARS  (Nota 8-1)</t>
  </si>
  <si>
    <t>Nota 8-1  Cuentas por Cobrar ARS</t>
  </si>
  <si>
    <t>Detalle de las Cuentas por Cobrar ARS:</t>
  </si>
  <si>
    <t>Nota 8-2:  Otras Cuentas por Cobrar</t>
  </si>
  <si>
    <t>Nota # 9  Inventarios</t>
  </si>
  <si>
    <t>Nota # 10    Pagos por Anticipaldos</t>
  </si>
  <si>
    <t>Nota # 11  Propiedad Planta y Equipo</t>
  </si>
  <si>
    <t>PASIVOS</t>
  </si>
  <si>
    <t>Nota # 12  Cuentas por Pagar</t>
  </si>
  <si>
    <t>Descripción</t>
  </si>
  <si>
    <t>Proveedores de Medicamentos y Material Gastable</t>
  </si>
  <si>
    <t>Nota # 13  Retenciones y Acumulaciones por Pagar</t>
  </si>
  <si>
    <t>Retención ISR</t>
  </si>
  <si>
    <t>Retención 5%</t>
  </si>
  <si>
    <t>Retención 10%</t>
  </si>
  <si>
    <t>Retención 2%</t>
  </si>
  <si>
    <t>Total Retenciones y Acumulaciones por Pagar</t>
  </si>
  <si>
    <t xml:space="preserve">Nota # 14  Activos Netos/Patrimonio de la Institución </t>
  </si>
  <si>
    <t>Nota # 15   Ingresos por transacciones y Contraprestaciones</t>
  </si>
  <si>
    <t>Nota # 16   Transferencias y Donaciones</t>
  </si>
  <si>
    <t>Transferencias Corrientes Recibidas</t>
  </si>
  <si>
    <t>Total Transferencias Corrientes Recibidas</t>
  </si>
  <si>
    <t>Nota # 17   Sueldos, Salarios, y Beneficios a Empleados (Servicios Personales)</t>
  </si>
  <si>
    <t>Sueldo Annual No. 13</t>
  </si>
  <si>
    <t>Total Remuneraciones</t>
  </si>
  <si>
    <t>Nota # 17-1  Remuneración al Personal con Caracter Transitorio</t>
  </si>
  <si>
    <t>Sueldo al Personal Contratado y/o Igualado</t>
  </si>
  <si>
    <t>Total Sueldo al Personal Contratado y/o Igualado</t>
  </si>
  <si>
    <t>Nota # 17-2 Prestaciones Económicas</t>
  </si>
  <si>
    <t>Prestación Económica</t>
  </si>
  <si>
    <t>Prestación Laboral por Desvinculación</t>
  </si>
  <si>
    <t>Proporción de Vacaciones no Disfrutadas</t>
  </si>
  <si>
    <t>Total Prestaciones Económicas</t>
  </si>
  <si>
    <t>Nota 17-3    Compensación</t>
  </si>
  <si>
    <t>Nota 17-4  Contribución a la Seguridad Social y Riesgo Laboral</t>
  </si>
  <si>
    <t>Total Contribución a la Seguridad Social y Riesgo Laboral</t>
  </si>
  <si>
    <t>Nota # 18  Subvenciones y Otros Pagos por Transferencias</t>
  </si>
  <si>
    <t>Total Transferencias y Donaciones Corrientes</t>
  </si>
  <si>
    <t>Nota # 19  Suministro y Materiales de Consumo</t>
  </si>
  <si>
    <t>Nota # 20  Gastos de Depreciación y Amortización</t>
  </si>
  <si>
    <t>Nota # 21   Otros Gastos</t>
  </si>
  <si>
    <t>Estado de Comparacion de los Importes Presupuestados y Realizados</t>
  </si>
  <si>
    <t xml:space="preserve">                      HISTORIA DEL CENTRO CARDIO NEURO-OFTALMOLOGICO Y TRASPLANTE  (cecanot)</t>
  </si>
  <si>
    <t>Otros Cafetería</t>
  </si>
  <si>
    <t>Otras Contrataciones de Servicios</t>
  </si>
  <si>
    <t>Fondo de Caja (Cafeteria)</t>
  </si>
  <si>
    <t>Pagos a Proveedores</t>
  </si>
  <si>
    <r>
      <t xml:space="preserve">Para la </t>
    </r>
    <r>
      <rPr>
        <b/>
        <sz val="12"/>
        <color theme="1"/>
        <rFont val="Calibri"/>
        <family val="2"/>
        <scheme val="minor"/>
      </rPr>
      <t>Depreciación</t>
    </r>
    <r>
      <rPr>
        <sz val="12"/>
        <color theme="1"/>
        <rFont val="Calibri"/>
        <family val="2"/>
        <scheme val="minor"/>
      </rPr>
      <t xml:space="preserve"> de esta categoría de bienes se aplica el mismo método de linea recta.</t>
    </r>
  </si>
  <si>
    <t xml:space="preserve">En el marco de impulsar el ejercicio, avance y desarrollo de la medicina en el país, así como el sustento de su practica, </t>
  </si>
  <si>
    <t>el Hospital "Dr. Luís Eduardo Aybar" el cual fue inaugurado el 20 de abril del año 1946, ha jugado un papel transcedental, siendo</t>
  </si>
  <si>
    <t>el Hospital Universitario de mayor cobertura asistencial, docente y de investigación de la Republica Dominicana.</t>
  </si>
  <si>
    <t>El Hospital " Dr. Luís Eduardo Aybar" en su afán tesonero de continuar a la vanguardia de sus servicios y fomación de recursos en</t>
  </si>
  <si>
    <t>salud, ha provocado la toma de conciencia al interior de las autoridades de Salud Pública,  de la necesidad de crear centros de</t>
  </si>
  <si>
    <t>asistencia especializados, con el auxilio y la asistencia de las últimas innovaciones tecnologicas y cientificas que satisfagan las</t>
  </si>
  <si>
    <t>carencias de la ciuidadanía.</t>
  </si>
  <si>
    <t xml:space="preserve">Atendiendo a esa objetiva realidad en el seno de un grupo de médicos científicos del Hospital Aybar, se visualizó la idea  de </t>
  </si>
  <si>
    <t>adecuar un nuevo ejercicio de acciones medico con la creación de un sofisticado centro de Oftalmología y Neurologia. Estos</t>
  </si>
  <si>
    <t>científicos pioneros del hoy CECANOT  estuvieron representados por el Dr. Manuel Eduardo Valdez Guerrero.</t>
  </si>
  <si>
    <t>A partir del 22 de abril del 2008 se pone en funcionamiento el Centro Cardio Neuro-Oftalmológico y trasplante (CECANOT), centro</t>
  </si>
  <si>
    <t>especializado para la Satisfacción y Significativa utilidad tanto para las presentes como para las futuras generaciones.</t>
  </si>
  <si>
    <t>CECANOT es uno de los centros que integra la ciudad sanitaria 'Dr. Luís Eduardo Aybar", el cual tiene como objetivo fundamental</t>
  </si>
  <si>
    <t>brindarle servicios de cirugía, oftalmología y trasplante a la población que requieran los mismos, en las especialidades medicas</t>
  </si>
  <si>
    <t>de cirugía cardiovascular, reurocirugía, oftalmología, hemodiálisis y  trasplante.</t>
  </si>
  <si>
    <t>Este centro ofrece asistencias de consultas a pacientes ambulatorios y hospitalizados, servicios de internamiento pre y post qui -</t>
  </si>
  <si>
    <t>rúrgicos y cuidados intensivos (UCI).</t>
  </si>
  <si>
    <t>CECANOT se caracteriza por brindar servicios quirúrgicos especializados con procedimientos técnicos de alta calidad que por sus</t>
  </si>
  <si>
    <t>elevados precios están vedados a una mayoría del pueblo dominicano y entre otras vertientes contribuir a la educacion, formacion</t>
  </si>
  <si>
    <t>e investigación científica de médicos especializados y residentes en las diferentes áreas  que maneja el centro.</t>
  </si>
  <si>
    <t>Misión: Brindar servicios de salud especializados con calidad, a todos los ciudadanos en igualdad de condiciones</t>
  </si>
  <si>
    <t xml:space="preserve">Optimizar los servicios de las diferentes especialidades mediante la adquisición de nueva Tecnología en cuanto a </t>
  </si>
  <si>
    <t>El mismo obedece a las pautas y normas consignadas en las leyes y reglas del área de salud y del ámbito público administrativo.</t>
  </si>
  <si>
    <t>Estas leyes y normas que pautan el accionar legal del Centro Cardio Neuro-Oftalmológico y Trasplante son las siguientes:</t>
  </si>
  <si>
    <t>Ley Orgánica de la Secretaría de Estado No. 4378 del 10 de febrero del 1956</t>
  </si>
  <si>
    <t>Ley No. 41-08 de Función Pública y crea la Secretaría de Estado de Administración Pública de fecha 16 de enero del 2008.</t>
  </si>
  <si>
    <t>Deroga las leyes No. 14-91 de Servicio Civil y Carrera Administrativa y la ley 120-01 sobre el código de Etica del Servidor Publico.</t>
  </si>
  <si>
    <t>Públicas, deroga el Reglamento No. 9033 para la aplicación de la Ley de Organización del Cuerpo Médico de los Hospitales y el</t>
  </si>
  <si>
    <t>Reglamento No. 351-99 que  crea el Reglamento de Hospitales y sus Modificaciones.</t>
  </si>
  <si>
    <t>Decreto 173-08 de fecha 24 de marzo del 2008, que denomina Centro Cardio Neuro-Oftalmológico y Trasplante de la Ciudad</t>
  </si>
  <si>
    <t>efectivo y los  Estados  Financieros  sobre la base de acumulación (o devengo), conforme a las estipulaciones de las NICESP 24</t>
  </si>
  <si>
    <t>aprobado cubre el período fiscal que va desde el 1 de enero hasta el 30 de junio del 2020 y es incluído como información Suple -</t>
  </si>
  <si>
    <t>mentaria en los Estados Financieros y sus Notas correspondientes al corte semestral 2021.</t>
  </si>
  <si>
    <t>Los resultados reales pueden diferir de estas estimaciones.</t>
  </si>
  <si>
    <t>La preparación de los Estados Financieros de Conformidad con las NICSP requiere que la administración realice juicios estimacio-</t>
  </si>
  <si>
    <t>nes y supuestos que afectan la aplicación de las Políticas Contables y los montos de activos,pasivos,ingresos y gastos reportados.</t>
  </si>
  <si>
    <t>vos (Alquileres); se determina si un acuerdo contiene un arrendamiento y su clasificación.</t>
  </si>
  <si>
    <t>montos reconocidos en el Estado de Rendimientos Financiero se describe en la Nota referente a gastos generales y administrati -</t>
  </si>
  <si>
    <t>La información sobre juicios realizados en la aplicación de Políticas Contables que tienen el efecto más importante sobre los</t>
  </si>
  <si>
    <t xml:space="preserve">La información sobre los supuestos e incertidumbre de estimación que tiene un riesgo significativo de resultar en un ajuste </t>
  </si>
  <si>
    <t>recursos economicos.</t>
  </si>
  <si>
    <t xml:space="preserve">reconocimiento y medición de contingencias; supuestos claves relacionados con la probabilidad y magnitud de una salida de </t>
  </si>
  <si>
    <t xml:space="preserve">material en el corte semestral del 30 de junio de 2021 y 2020 se incluye en la Nota referente a compromisos y contingencias;       </t>
  </si>
  <si>
    <t>lidad general por la supervisión de todas las mediciones significativas de este, incluyendo los de Niveles 3.</t>
  </si>
  <si>
    <t xml:space="preserve">La entidad cuenta con un marco de control establecido en relación con el calculo de los valores razonables y tiene la responsabi -     </t>
  </si>
  <si>
    <t>siempre que sea posible, precios cotizados en un mercado activo.</t>
  </si>
  <si>
    <t xml:space="preserve">Cuando se mide el valor razonable de un activo o pasivo, el Centro Cardio Neuro-Oftalmológico y Trasplante (CECANOT) utiliza        </t>
  </si>
  <si>
    <t>Con esta se busca establecer cual será el precio de una transacción realizada a la fecha de medición.</t>
  </si>
  <si>
    <t xml:space="preserve">Si el mercado para un activo o pasivo no es activo, la entidad establecerá el valor razonable utilizando una técnica de valoración.  </t>
  </si>
  <si>
    <t>directa (precios) o indirectamente (derivados de los precios).</t>
  </si>
  <si>
    <t xml:space="preserve">Nivel 2:  Datos diferentes de los precios cotizados incluídos en el Nivel 1 que sean observados para el activo o pasivo, ya sea          </t>
  </si>
  <si>
    <t>mas bajo que sea significativa para la medición total.</t>
  </si>
  <si>
    <t>Si las variables usadas para medir el valor razonable de un activo o pasivo pueden clasificarse en niveles distintos de la jerarquía</t>
  </si>
  <si>
    <t xml:space="preserve">del valor razonable, entonces la medición se clasifica en su totalidad en el mismo nivel de la jerarquía que la variable de nivel </t>
  </si>
  <si>
    <t>valor razonable al final del periodo sobre el que se informa durante el que ocurrió el cambio.</t>
  </si>
  <si>
    <t xml:space="preserve">El Centro Cardio Neuro-Oftalmológico y Trasplante (CECANOT) reconoce las transferencias entre los niveles de la jerarquía del      </t>
  </si>
  <si>
    <t>son valuados mediante tasaciones realizadas por un experto externo.</t>
  </si>
  <si>
    <t xml:space="preserve">Los Estados Financieros se elaboran sobre la base del costo histórico, a excepción de los terrenos y edificios los cuales son </t>
  </si>
  <si>
    <t>cion se considere limitativa.</t>
  </si>
  <si>
    <t>Aquí se detalla todo lo relacionado con las principales Políticas Contables significativas como podría ser, sin que esta enumera -</t>
  </si>
  <si>
    <t xml:space="preserve">La moneda de curso legal es el Peso Dominicano (RD$) y se expresa a su valor nominal.  Por otra parte la moneda extranjera se </t>
  </si>
  <si>
    <t>cion al tipo de cambio comprado a esa fecha.</t>
  </si>
  <si>
    <t xml:space="preserve">valua por la tasa de cambio para la compra vigente, al momento de cada transacción y al cierre de cada ejercicio, por su cotiza -      </t>
  </si>
  <si>
    <t>los Estados Financieros, se deben valuar a su valor de costo.</t>
  </si>
  <si>
    <t>devengado hasta la fecha.</t>
  </si>
  <si>
    <t xml:space="preserve">Las inversiones a plazo fijo o indefinidos,no vencidos al ciere del ejercicio fiscal, se valúan por su valor nominal más los intereses </t>
  </si>
  <si>
    <t>los terceros,según surjan de los derechos u obligaciones resultantes de cada transacción.</t>
  </si>
  <si>
    <t xml:space="preserve">Las cuentas y documentos por cobrar a corto plazo son valuados conforme a las acreencias que tenga la entidad económica hacia   </t>
  </si>
  <si>
    <t>incurridos para situarlos en el lugar de destino, ajustado a las condiciones de su uso o venta.</t>
  </si>
  <si>
    <t xml:space="preserve">Los bienes de cambio o de consumo se valúan al costo de adquisición producción en que se incurre, para obtener el bién. El costo </t>
  </si>
  <si>
    <t xml:space="preserve">de adquisicion está constituido por los montos de las erogaciones efectuadas para su compra o producción y todos los gastos         </t>
  </si>
  <si>
    <t>Los costos por intereses relacionados con el financiamiento de la adquisición o producción del bién, no forman parte del costo</t>
  </si>
  <si>
    <t>del mismo. Por otra parte, las bonificaciones (descuentos) por pronto pago son consideradas al determinar el costo de los mismos.</t>
  </si>
  <si>
    <t xml:space="preserve">Las inversiones en bienes de uso se valúan por su costo de adquisición,de construcción o por un valor equivalente costo corriente   </t>
  </si>
  <si>
    <t>necesarios para colocar el bién en lugar y condiciones de uso.</t>
  </si>
  <si>
    <t xml:space="preserve">cuando se reciben sin contraprestación.El costo de adquisición incluye el precio neto pagado por los bienes, más todos los gastos </t>
  </si>
  <si>
    <t>y devengados durante el periodo efectivo de la construción.</t>
  </si>
  <si>
    <t xml:space="preserve">Los costos de construcción incluyen los costos directos e indirectos, incluyendo los costos de administración de la obra, incurridos </t>
  </si>
  <si>
    <t>equivalentes, que debería pagarse para adquirirlo en las condiciones en que se encuentren.</t>
  </si>
  <si>
    <t xml:space="preserve">Los bienes recibidos en donación son contabilizados a valor corriente, representado por el importe de efectivo y otras partidas    </t>
  </si>
  <si>
    <t>zada y del bien que se trate.</t>
  </si>
  <si>
    <t xml:space="preserve">forma conjunta con el bién existente o por separado cuando sea aconsejable, de acuerdo con la naturaleza de la operación  reali-    </t>
  </si>
  <si>
    <t xml:space="preserve">Los costos de mejoras, reparaciones mayores y rehabilitaciones que extienden la vida útil de los Bienes de Uso, se capitalizan en  </t>
  </si>
  <si>
    <t>se recurrira a su tasación.</t>
  </si>
  <si>
    <t>Los bienes inmuebles son contabilizados de acuerdo con la última valuación fiscal conocida, y de no resultar factible su obtención</t>
  </si>
  <si>
    <r>
      <t xml:space="preserve">El método de cálculo para el registro de la </t>
    </r>
    <r>
      <rPr>
        <b/>
        <sz val="12"/>
        <color theme="1"/>
        <rFont val="Calibri"/>
        <family val="2"/>
        <scheme val="minor"/>
      </rPr>
      <t>Depreciación es el de Linea Recta</t>
    </r>
    <r>
      <rPr>
        <sz val="12"/>
        <color theme="1"/>
        <rFont val="Calibri"/>
        <family val="2"/>
        <scheme val="minor"/>
      </rPr>
      <t xml:space="preserve">, adoptado como método general aplicable a todo el </t>
    </r>
  </si>
  <si>
    <t>los bienes de uso de dominio publico con excepción de los terrenos.</t>
  </si>
  <si>
    <t xml:space="preserve">Sector Publico, a los fines de su consolidacion. El uso de este método representa la distribución sistemática y racional del costo    </t>
  </si>
  <si>
    <t xml:space="preserve">total de cada partida del activo fijo tangible,durante el periodo de su aprovechamiento económico,el mismo será aplicado a todos    </t>
  </si>
  <si>
    <t>prestacion, como es el caso de la donación.</t>
  </si>
  <si>
    <t>Estas partidas de los activos no corrientes se registran por su valor de adquisición o su valor corriente cuando no existe contra--</t>
  </si>
  <si>
    <t xml:space="preserve">Las inversiones con cotización  en mercados de valores y las participaciones permanentes en sociedades en la que se ejerza </t>
  </si>
  <si>
    <t>estimados de venta e impuestos.</t>
  </si>
  <si>
    <t xml:space="preserve">influencia signifiativa,se valuarán a sus respectivas cotizaciones a la fecha de cierre del periodo,exceptuando los gastos </t>
  </si>
  <si>
    <t>valuaran a su valor patrimonial proporcional.</t>
  </si>
  <si>
    <t xml:space="preserve">Cuando se trate de participaciones permanentes en las que se ejerza control o influencia significativa en las decisiones, se            </t>
  </si>
  <si>
    <t>inversion realizada, seran catalogadas como un componente del activo fijo, sujetas a conciliación y reclasificación.</t>
  </si>
  <si>
    <t xml:space="preserve">Si el poder Ejecutivo, realiza transferencias de capital a instituciones del Gobierno Central, sin tenerse el detalle del tipo de           </t>
  </si>
  <si>
    <t>los Estados Financieros.</t>
  </si>
  <si>
    <t xml:space="preserve">seran clasificadas y registradas como Participaciones y Aportes de Capital, sujetas a verificación a través de la consolidación de      </t>
  </si>
  <si>
    <t xml:space="preserve">Asimismo, si durante el periodo se realizan transferencias de capital a instituciones descentralizadas y empresas públicas, estas     </t>
  </si>
  <si>
    <t>descuentos comerciales obtenidos, si aplican.</t>
  </si>
  <si>
    <t xml:space="preserve">Los pasivos por concepto de deudas se contabilizan por el valor de los bienes adquiridos y los servicios recibidos, deduciendo los   </t>
  </si>
  <si>
    <t>nal de los titulos colocados y por los tramos efectivamente desembolsados de los contratos de préstamos suscritos.</t>
  </si>
  <si>
    <t xml:space="preserve">Los pasivos asumidos por concepto de préstamos en efectivo por la colocación de títulos de deuda pública y por contratos de        </t>
  </si>
  <si>
    <t xml:space="preserve">prestamos con Organismos Internacionales, Bilaterales y Multilaterales de Crédito, son registrados por el importe del valor nomi-    </t>
  </si>
  <si>
    <t>ajustan a la cotizacion de la moneda vigente a esa fecha.</t>
  </si>
  <si>
    <t xml:space="preserve">Los pasivos en moneda extranjera se valúan de acuerdo con la cotización de la moneda de que se trate, o al tipo de cambio               </t>
  </si>
  <si>
    <t xml:space="preserve">comprado a la fecha del ingreso de los fondos.  Al cierre del ejercicio contable los montos no pagados o pendientes de pago se     </t>
  </si>
  <si>
    <t xml:space="preserve">Los pasivos diferidos están valuados al valor nominal de los anticipos recibidos por obligaciones que deberán cumplirse en </t>
  </si>
  <si>
    <t>ejercicios siguientes.</t>
  </si>
  <si>
    <t>rubro de que se trate.</t>
  </si>
  <si>
    <t xml:space="preserve">Las provisiones se determinan como el resultado de estimaciiones basadas en la experiencia sobre la incobrabilidad o riesgo del </t>
  </si>
  <si>
    <r>
      <t xml:space="preserve">La partida de Patrimonio está conformada por el rubro de </t>
    </r>
    <r>
      <rPr>
        <b/>
        <sz val="12"/>
        <color theme="1"/>
        <rFont val="Calibri"/>
        <family val="2"/>
        <scheme val="minor"/>
      </rPr>
      <t xml:space="preserve">Patrimonio Público Dominicano, </t>
    </r>
    <r>
      <rPr>
        <sz val="12"/>
        <color theme="1"/>
        <rFont val="Calibri"/>
        <family val="2"/>
        <scheme val="minor"/>
      </rPr>
      <t xml:space="preserve">derivada de la diferencia entre </t>
    </r>
  </si>
  <si>
    <t xml:space="preserve">total del activo y del pasivo de la entidad económica denominada "Gobierno Central", más el ahorro o desahorro acumulado         </t>
  </si>
  <si>
    <r>
      <t xml:space="preserve">de la Seguridad Social, que conforman el denominado </t>
    </r>
    <r>
      <rPr>
        <b/>
        <sz val="12"/>
        <color theme="1"/>
        <rFont val="Calibri"/>
        <family val="2"/>
        <scheme val="minor"/>
      </rPr>
      <t>Patrimonio Publico</t>
    </r>
    <r>
      <rPr>
        <sz val="12"/>
        <color theme="1"/>
        <rFont val="Calibri"/>
        <family val="2"/>
        <scheme val="minor"/>
      </rPr>
      <t>.</t>
    </r>
  </si>
  <si>
    <t>proveniente de los sucesivos ejercicios fiscales, así como las donaciones y contribuciones de capital internas y externas recibidas</t>
  </si>
  <si>
    <r>
      <rPr>
        <b/>
        <sz val="12"/>
        <color theme="1"/>
        <rFont val="Calibri"/>
        <family val="2"/>
        <scheme val="minor"/>
      </rPr>
      <t>Capital Publico</t>
    </r>
    <r>
      <rPr>
        <sz val="12"/>
        <color theme="1"/>
        <rFont val="Calibri"/>
        <family val="2"/>
        <scheme val="minor"/>
      </rPr>
      <t xml:space="preserve">, el cual consiste en el registro de caracter transitorio que refleja los movimientos positivos con respecto a la </t>
    </r>
    <r>
      <rPr>
        <b/>
        <sz val="12"/>
        <color theme="1"/>
        <rFont val="Calibri"/>
        <family val="2"/>
        <scheme val="minor"/>
      </rPr>
      <t xml:space="preserve">            </t>
    </r>
  </si>
  <si>
    <r>
      <t xml:space="preserve">el </t>
    </r>
    <r>
      <rPr>
        <b/>
        <sz val="12"/>
        <color theme="1"/>
        <rFont val="Calibri"/>
        <family val="2"/>
        <scheme val="minor"/>
      </rPr>
      <t>Patrimonio Instituccional</t>
    </r>
    <r>
      <rPr>
        <sz val="12"/>
        <color theme="1"/>
        <rFont val="Calibri"/>
        <family val="2"/>
        <scheme val="minor"/>
      </rPr>
      <t xml:space="preserve"> proveniente de las instituciones Descentralizadas o Autónomas y de la Seguridad Social y  el</t>
    </r>
    <r>
      <rPr>
        <b/>
        <sz val="12"/>
        <color theme="1"/>
        <rFont val="Calibri"/>
        <family val="2"/>
        <scheme val="minor"/>
      </rPr>
      <t xml:space="preserve">               </t>
    </r>
  </si>
  <si>
    <t xml:space="preserve">construccion de bienes de dominio publico, de la administracion central, de los Organismo Descentralizados y de las instituciones </t>
  </si>
  <si>
    <t>su valor nominal, y en los casos de transferencias de bienes, por su valor de mercado.</t>
  </si>
  <si>
    <t xml:space="preserve">Las transferencias de capital recibidas en efectivo, procedentes del Sector Privado  y del Sector Publico, se registran y exponen a     </t>
  </si>
  <si>
    <t>Privado Externo, recibidas en moneda extranjera, se registran al tipo de cambio vigente a la fecha del ingreso de los fondos.</t>
  </si>
  <si>
    <t xml:space="preserve">Las donaciones de capital recibidas en efectivo, procedentes de Gobiernos Extranjeros, Organismos Internacionales y del Sector  </t>
  </si>
  <si>
    <t>fiscal de la entidad economica, para el ejercicio contable de que se trate.</t>
  </si>
  <si>
    <t xml:space="preserve">Los resultados de la cuenta corriente expresan las diferencias entre los ingresos y los egresos obtenidos a traves de la gestion       </t>
  </si>
  <si>
    <t>Reconocimiento de Ingresos y Gastos</t>
  </si>
  <si>
    <t>cuando los libramientos para pagos son aprobados por parte de la Contraloria Gdeneral de la Republica.</t>
  </si>
  <si>
    <t xml:space="preserve">Los ingresos son reconocidos en los resultados del ejercicio a medida que se perciben,y los gastos se reconocen como devengado    </t>
  </si>
  <si>
    <t>expresan en pesos dominicanos al cierre del periodo contable,  utilizando la tasa oficial del Banco Central de  la  Republica Domi-</t>
  </si>
  <si>
    <t xml:space="preserve">Los activos y psasivos en moneda extranjera se registran al tipo de cambio de la fecha en que se realizan las transacciones y se      </t>
  </si>
  <si>
    <t>nicana.</t>
  </si>
  <si>
    <t>publica y desembolsos de prestamos avalados por el Gobierno Central.</t>
  </si>
  <si>
    <t xml:space="preserve">concepto de transacciones correspondientes a intituciones descentralizadas, relativas a bienes inmuebles, construcciones, deuda  </t>
  </si>
  <si>
    <t xml:space="preserve">El Balance General, presenta cuentas de orden deudoras y acreedoras en las cuales se exponen los valores registrados por           </t>
  </si>
  <si>
    <t>Dr. Felix Valdez Suero</t>
  </si>
  <si>
    <t>Dr.  Felix Valdez Suero</t>
  </si>
  <si>
    <t>Dr. Felix Valdez Sueero</t>
  </si>
  <si>
    <t xml:space="preserve">SERVICIO NACIONAL DE SALUD </t>
  </si>
  <si>
    <t xml:space="preserve">DIRECCION DE FISCALIZACION Y CONTROL </t>
  </si>
  <si>
    <t>MATERIAL MEDICO</t>
  </si>
  <si>
    <t>ALCON DOMINICANA</t>
  </si>
  <si>
    <t>BIO NOVA</t>
  </si>
  <si>
    <t>COPYDOM</t>
  </si>
  <si>
    <t>MATERIAL DE LIMPIEZA</t>
  </si>
  <si>
    <t>COMPU-OFFICE DOMINICANA</t>
  </si>
  <si>
    <t>CORAVASCULAR</t>
  </si>
  <si>
    <t>FRAVAX</t>
  </si>
  <si>
    <t>COMPRA DE MEDICAMENTOS</t>
  </si>
  <si>
    <t>FARMACONAL</t>
  </si>
  <si>
    <t>FARACH</t>
  </si>
  <si>
    <t>FUMIMAX</t>
  </si>
  <si>
    <t>INFALAB</t>
  </si>
  <si>
    <t>MEDICAMENTOS</t>
  </si>
  <si>
    <t>MACROTECH</t>
  </si>
  <si>
    <t>PEREZ BARROSO</t>
  </si>
  <si>
    <t>PHARMATECH</t>
  </si>
  <si>
    <t>PROMEDICA</t>
  </si>
  <si>
    <t>REMINTER</t>
  </si>
  <si>
    <t>MATERIAL DE OFICINA</t>
  </si>
  <si>
    <t>SEAN DOMINICAN</t>
  </si>
  <si>
    <t>SERVICIOS VASCULARES</t>
  </si>
  <si>
    <t>SUIPHAR DOMINICANA</t>
  </si>
  <si>
    <t>TROPIGAS DOMINICANA</t>
  </si>
  <si>
    <t>VENDIFAR</t>
  </si>
  <si>
    <t>Propiedad, Planta y Equipo Neto 2021</t>
  </si>
  <si>
    <t>Propiedad Planta y Equipo Neto (Nota 11)</t>
  </si>
  <si>
    <t>Retenciones y  Acumulaciones Por Pagar (Nota 13)</t>
  </si>
  <si>
    <t>Nota # 8   Cuentas por Cobrar a Corto Plazo</t>
  </si>
  <si>
    <t>Total Cuentas Por Cobrar</t>
  </si>
  <si>
    <t>Nota 8-3 Cuentas por Cobrar Pacientes</t>
  </si>
  <si>
    <t>Resultado Positivos (Ahorro)/ Negativo (Desahorro)</t>
  </si>
  <si>
    <t>Remuneración al Personal con Caracter Transitorio (Nota 17-1)</t>
  </si>
  <si>
    <t>Saldo al 30 de  de junio 2021</t>
  </si>
  <si>
    <t>Saldo al 31 de diciembre 2020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</si>
  <si>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</si>
  <si>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Total Cuentas por Cobrar Pacientes</t>
  </si>
  <si>
    <t>Licencias Informaticas</t>
  </si>
  <si>
    <t>Total de Servicios No Personales</t>
  </si>
  <si>
    <t xml:space="preserve">                                      Dr. Felix Valdez Suero</t>
  </si>
  <si>
    <t xml:space="preserve">                                       Director General</t>
  </si>
  <si>
    <t xml:space="preserve">La adquisición de Titulos y Valores Negociables se registraran por su valor de costo o adquisición a la fecha de presentación de    </t>
  </si>
  <si>
    <t>Dep. de Computadora</t>
  </si>
  <si>
    <t>Dep Equipos de Transporte</t>
  </si>
  <si>
    <t>Dep. de Otros Activos</t>
  </si>
  <si>
    <t>Dep. de Equipos Medico</t>
  </si>
  <si>
    <t>Dep. de Mobiliario y equipo  de Oficina</t>
  </si>
  <si>
    <t>EPX DOMINICANA</t>
  </si>
  <si>
    <t>Equipo Oficina</t>
  </si>
  <si>
    <t>IDOPRIL</t>
  </si>
  <si>
    <t>Variacion</t>
  </si>
  <si>
    <t>%</t>
  </si>
  <si>
    <t>Variación</t>
  </si>
  <si>
    <t>conformado de la siguiente manera:</t>
  </si>
  <si>
    <t xml:space="preserve">Seguros </t>
  </si>
  <si>
    <t>En el detalle mostramos las partidas individuales:</t>
  </si>
  <si>
    <t>Saldo al final Periodo 2020</t>
  </si>
  <si>
    <t>Cuientas por Cobrar Pacientes  (Nota 8-3)</t>
  </si>
  <si>
    <t>equivalente a (419.37%).</t>
  </si>
  <si>
    <t>HOSPAL MEDICA</t>
  </si>
  <si>
    <t>MEDISOL</t>
  </si>
  <si>
    <t>Preparado por: Francisco Villabrille</t>
  </si>
  <si>
    <t>Encargado de Contabilidad</t>
  </si>
  <si>
    <t>Licencia Informatica</t>
  </si>
  <si>
    <t>refleja porque anteriormente presentaban como activo la ejecución del gasto mensual.</t>
  </si>
  <si>
    <t>en porcentaje este aumento se debe a mayores compromisos con los proveedores.</t>
  </si>
  <si>
    <t>en terminos porcentuales.</t>
  </si>
  <si>
    <t>porcentuales para el 2021. Ver el siguiente detalle:</t>
  </si>
  <si>
    <t>Cobros de Subvenciones, transferencias y otras asignaciones</t>
  </si>
  <si>
    <t>Saldo al 31 de  de Agosto 2021</t>
  </si>
  <si>
    <t xml:space="preserve">Del Ejercicio Terminado al 31 de Agosto de 2021 </t>
  </si>
  <si>
    <t>esta realizando un inventario fisico.</t>
  </si>
  <si>
    <t>Bono por desempeno</t>
  </si>
  <si>
    <t>09</t>
  </si>
  <si>
    <t>Del Ejercicio Terminado al 30 de Septiembre de 2021 y 2020</t>
  </si>
  <si>
    <t xml:space="preserve">                       Lic. Ramon Evans</t>
  </si>
  <si>
    <t xml:space="preserve">                        Administrador</t>
  </si>
  <si>
    <t>Del Ejercicio Terminado al 30 de Septiembre 2021</t>
  </si>
  <si>
    <t>El detalle del efectivo y equivalentes de efectivo al 30 de Septiembre 2021 y 2020, es como sigue:</t>
  </si>
  <si>
    <t>Detalle de las Cuentas por Cobrar a Corto Plazo al 30 de Septiembre 2021 y 2020:</t>
  </si>
  <si>
    <t xml:space="preserve">Las Cuentas por Cobrar ARS, para Septiembre 30 del 2021 presentan un balance  de RD$ 125,026,510.37 y para el 2020 de RD$ 164,078,560.88                         </t>
  </si>
  <si>
    <t>esta comparación revela una disminución de (RD$ 39,052,050.51), equivalente a (31.24%)en terminos porcentuales.</t>
  </si>
  <si>
    <t>En este renglon de  las Cuentas por Cobrar, podemos ver que Otras Cuentas por Cobrar presenta una disminucion de (RD$ 3,703,396.75)</t>
  </si>
  <si>
    <t>lo que representa un (358.59%) en porcentaje.</t>
  </si>
  <si>
    <t>Las Cuentas por Cobrar Pacientes para el 30 de Septiembre del 2021, presentan tambien un incremento  por el monto de (RD$ 7,146,223.80)</t>
  </si>
  <si>
    <t>La Cuenta de Gastos Pagados por Anticipados tiene al 30 de septiembre del 2021 un balance de RD$ 1,407,731.91 y en Agosto 2020</t>
  </si>
  <si>
    <t>de RD$ 253,0654.80 lo que equivale a un incremento por valor de RD$ 1,154,667.11 y en porcentaje es 82.02 %. Este incremeto se</t>
  </si>
  <si>
    <t>Para el 30 de septiembre del 2021 los activos fijos presentan un balance de RD$ 56,145,427.47 y para el 2020 tiene RD$ 98,138,052.27, lo cual</t>
  </si>
  <si>
    <t>muestra una disminución por el monto de (RD$ 41,992,624.80) equivalente a (74.79%). En esta parte de los activos fijos, actualmente se</t>
  </si>
  <si>
    <t>Al  Cierre del Periodo fiscal de septiembre 2021 las Cuentas por Pagar Cerraron con un Monto de RD$ 77,901,336.04  y para el</t>
  </si>
  <si>
    <t xml:space="preserve">3 de septiembre  2020 su monto fue de RD$  10,927,253.52,lo que evidencia un incrremento de RD$ 66,974,082.52 para el </t>
  </si>
  <si>
    <t>periodo 2021 y representa en porcentaje un 85.97%. Este incremento tiene su efecto por la pandemia covid-19.</t>
  </si>
  <si>
    <t>Al 30 de septiembre del 2021 y al 30 de septiembre del 2020, las acumulaciones y retenciones por pagar presentan los balances  siguientes, para el</t>
  </si>
  <si>
    <t>el 2021 RD$ 394,280.05 y RD$ 68,918.07 para el 2020  respectivamente, esto refleja un incremento de RD$ 325,361.98, equivalente al 82.52%</t>
  </si>
  <si>
    <t>Al 30 de septiembre del 2021 y 30 de septiembre del 2020, el patrimonio de la institución tiene un balances de RD$ 543,386,511.82  y</t>
  </si>
  <si>
    <t xml:space="preserve">RD$ 609,849,451.87 respectivamente. El patrimonio disminuyo en (RD$ 66,462,940.05), lo que equivale al (12.232%), el cual esta            </t>
  </si>
  <si>
    <t xml:space="preserve">En el mes de septiembre 2021 y septiembre del  2020, los ingresos alcanzaron los montos de RD$ 56,567,048.43 y RD$ 15,684,318.80  reflejando        </t>
  </si>
  <si>
    <t>un incremento de  RD$ 40,882,729.63,  equivalente a un 72.27% en terminos porcentuales. El incremento se debe entre otras cosas a mejoría</t>
  </si>
  <si>
    <t>en el cobro de las deudas.</t>
  </si>
  <si>
    <t>Al 30 de septiembre del 2021 y al 30 de septiembre del 2020; las transferencias  corrientes recibidas alcanzaron los montos de RD$ 21,319,779.12</t>
  </si>
  <si>
    <t xml:space="preserve">en el 2021 y para el 2020 RD$ 17,235,106.38 respectivamente, reflejando un incremento de  de RD$ 4,084,672.74, equivalente al 19.16% .          </t>
  </si>
  <si>
    <t xml:space="preserve">Al 30 de septiembre 2021 y septiembre del 2020,los gastos por concepto de Remuneraciones alcanzaron los montos de RD$ 42,540,263.28 en el      </t>
  </si>
  <si>
    <t xml:space="preserve">2021 y de RD$ 21,311,042.70 en el 2020,reflejando un incremento de RD$ 21,229,220.58 para el 2021,equivalente al 49.90%.           </t>
  </si>
  <si>
    <t>A 30 de  septiembre del  2021 y al 30 de septiembre del 2020,los gastos de Remuneracion al personal contratado presentan balances</t>
  </si>
  <si>
    <t xml:space="preserve">por RD$ 26,803,153.42 y RD$ 16,320,314.53  respectivamente, reflejando un incremento  por el monto  de RD$ 10,482,838.89 para el 2021            </t>
  </si>
  <si>
    <t xml:space="preserve">equivalente a 39.11 % en el sueldo del personal contratado. </t>
  </si>
  <si>
    <t xml:space="preserve">para el 2021 y para el 2020  RD$ 200,383.47 lo que refleja  para el 2021 un incremento de RD$ 506,181.88 equivalente a 71.64% en porcentaje.               </t>
  </si>
  <si>
    <t>Bono por Desempeño</t>
  </si>
  <si>
    <t>Al 30 de septiembre del 2021 y  septiembre  2020,los gastos por compensación  presentan balances por RD$ 519,649.00  y RD$ 2,381,022.75</t>
  </si>
  <si>
    <t xml:space="preserve">respectivamente, reflejando un incremento de RD$ 8,840,097.91, lo que equivale al 78.78% en porcentaje. Este incremento se debe al pago                        </t>
  </si>
  <si>
    <t>de compensación por resultados.</t>
  </si>
  <si>
    <t>Al 30 de septiembre del 2021 y al 30 de septiembre 2020 los gastos por concepto de contribuciones a la seguridad social,tienen balances para</t>
  </si>
  <si>
    <t>el año 2021 RD$ 3,809,423..85 y para el 2020 RD$ 2,409,321.95 respectivamente,mostrando un incemento por RD$ 1,400,101.90 lo que  equivale a</t>
  </si>
  <si>
    <t>36.75% para el 2021,segun el siguiente detalle:</t>
  </si>
  <si>
    <t>Al 30 de septiembre del 2021 y al 30 de septiembre  2020, los Gastos por concepto de subvenciones por transferencias incurridas durante</t>
  </si>
  <si>
    <t>durante estos periodos, no presentan balances en ninguno de los periodos.</t>
  </si>
  <si>
    <t xml:space="preserve">Durante los periodos del 30 septiembre 2021 y 30 septiembre 2020, los gastos por  materiales y suministros incurridos  tienen   balances por                  </t>
  </si>
  <si>
    <t>RD$ 48,404,161.57  y RD$ 13,727,364.03 respectivamente, mostrando un aumento  de RD$ 34,676,797.54 para el 2021, lo que equivale a</t>
  </si>
  <si>
    <t>71.64 % con relación al periodo anterior.</t>
  </si>
  <si>
    <t xml:space="preserve">Al 30 de septiembre del 2021 y  30 de septiembre  2020, los gastos por concepto de depreciación y amortización presentan balances por valor de               </t>
  </si>
  <si>
    <t>valor de RD$ 1,355,784.33 y RD$ 14,837,557.66, respectivamente mostrando una disminución de (RD$ 13,481,773.33), lo que equivale al (994.39%)</t>
  </si>
  <si>
    <t>Al 30 de septiembre del 2021 y al 30 de septiembre  2020, los gastos por concepto de servicios no personales presentan balances por valor de</t>
  </si>
  <si>
    <t>RD$ 5,534,609.45 y RD$ 1,135,124.13 respectivamente  mostrando un incremento de RD$ 4,399,485.32, equivalente a 79.49% en terminos</t>
  </si>
  <si>
    <t>Lic. Ramon Evans</t>
  </si>
  <si>
    <t xml:space="preserve">     Administrador</t>
  </si>
  <si>
    <t>Administrador</t>
  </si>
  <si>
    <t>La Institucion tiene en el efectivo al 30 de septiembre 2021, el valor de RD$ 353,897,475.64 y para el 2020 su monto es RD$ 326,842,275.85</t>
  </si>
  <si>
    <t xml:space="preserve">esta comparación refleja ubn incremento  de RD$ 27,055,199.79el cual representa en terminos  porcentuales un 7.64 %.  </t>
  </si>
  <si>
    <t xml:space="preserve">Al 31 de Agosto del  2021, vemos que las Cuentas por Cobrar presentan un monto  de RD$ 124,683,452.90 y para el 2020 RD$ 177,664,991.55             </t>
  </si>
  <si>
    <t>esta comparación presenta una disminución de (RD$ 49,901,671.06). Esto equivale a (39.06 %). Esta disminución esta influida por pago de</t>
  </si>
  <si>
    <t>senasa por RD$ 43,414,859.65 lo que representa el 83.80% de los ingresos del 2020.</t>
  </si>
  <si>
    <t xml:space="preserve">33.64%. </t>
  </si>
  <si>
    <t>Al 30 de Septiembre del 2021 y  30 de septiembre del 2020 los inventarios tienen montos de  RD$ 82,468,172.40 en el 2021 y en el 2020  es de</t>
  </si>
  <si>
    <t>RD$ 54,729,420.39 respectivamente, en este periodo hay un incremento  para el 2021 por el monto de RD$ 27,738,752.01  lo que equivale  al</t>
  </si>
  <si>
    <t>Al 30 de septiembre del 2021 y al 30 de septiembre  2020, los gastos por Prestaciones Económicas  presentan los balances de RD$ 706,565.35</t>
  </si>
  <si>
    <t>Lic. Ramón Evans</t>
  </si>
  <si>
    <t>Del Ejercicio Terminado al 30 de Septiembrre de 2021</t>
  </si>
  <si>
    <t xml:space="preserve"> (Valores en RD$)</t>
  </si>
  <si>
    <t>Relacion de Cuentas por Pagar al 30 Septiembre2021</t>
  </si>
  <si>
    <t>FECHA</t>
  </si>
  <si>
    <t xml:space="preserve">No. FACTURA Y/O  COMPROBANTE </t>
  </si>
  <si>
    <t>PROVEEDORES</t>
  </si>
  <si>
    <t>CONCEPTO</t>
  </si>
  <si>
    <t>MONTO</t>
  </si>
  <si>
    <t>B1500000896</t>
  </si>
  <si>
    <t>AIDSA COMERCIAL</t>
  </si>
  <si>
    <t>RECOGIDA DE BASURA</t>
  </si>
  <si>
    <t>B1500000852</t>
  </si>
  <si>
    <t>B1500000901</t>
  </si>
  <si>
    <t>B1500000902</t>
  </si>
  <si>
    <t>B1500000935</t>
  </si>
  <si>
    <t>B1500000937</t>
  </si>
  <si>
    <t>B1500000961</t>
  </si>
  <si>
    <t>B1500000962</t>
  </si>
  <si>
    <t>B1500015198</t>
  </si>
  <si>
    <t>B1500016290</t>
  </si>
  <si>
    <t>B1500016590</t>
  </si>
  <si>
    <t>16/05/2018</t>
  </si>
  <si>
    <t>B1500016146</t>
  </si>
  <si>
    <t>21/08/2018</t>
  </si>
  <si>
    <t>B1500016158</t>
  </si>
  <si>
    <t>25/04/2018</t>
  </si>
  <si>
    <t>B1500016124</t>
  </si>
  <si>
    <t>16/04/2018</t>
  </si>
  <si>
    <t>B1500016105</t>
  </si>
  <si>
    <t>14/8/2020</t>
  </si>
  <si>
    <t>B1500001558</t>
  </si>
  <si>
    <t>ANEST</t>
  </si>
  <si>
    <t>B150000222</t>
  </si>
  <si>
    <t xml:space="preserve">ARIZA BATLLE </t>
  </si>
  <si>
    <t>B1500000224</t>
  </si>
  <si>
    <t>B1500000403</t>
  </si>
  <si>
    <t>AVG COMERCIAL</t>
  </si>
  <si>
    <t>SILLAS PLASTICA</t>
  </si>
  <si>
    <t>B1500007432</t>
  </si>
  <si>
    <t>B1500020173</t>
  </si>
  <si>
    <t>BIO NUCLEAR</t>
  </si>
  <si>
    <t>MANTENIMIENTO DE EQUIPO</t>
  </si>
  <si>
    <t>B1500020317</t>
  </si>
  <si>
    <t>MANTENIENTO DE SISTEMA LAPLUS LABORATORIO</t>
  </si>
  <si>
    <t>B1500020752</t>
  </si>
  <si>
    <t>REACTIVOS DE LABORATORIOS</t>
  </si>
  <si>
    <t>B1500021720</t>
  </si>
  <si>
    <t>B1500023046</t>
  </si>
  <si>
    <t>B1500023156</t>
  </si>
  <si>
    <t>B1500023152</t>
  </si>
  <si>
    <t>B1500023282</t>
  </si>
  <si>
    <t>B1500023281</t>
  </si>
  <si>
    <t>B1500023357</t>
  </si>
  <si>
    <t>B1500023409</t>
  </si>
  <si>
    <t>B1500000105</t>
  </si>
  <si>
    <t>BIO TES LABORATORIOS CLINICO</t>
  </si>
  <si>
    <t>ANALISIS PACIENTES</t>
  </si>
  <si>
    <t>B1500000110</t>
  </si>
  <si>
    <t>B1500000113</t>
  </si>
  <si>
    <t>BIO TEST</t>
  </si>
  <si>
    <t>B1500000115</t>
  </si>
  <si>
    <t>B1500000109</t>
  </si>
  <si>
    <t>BIO TEST LABORATORIOS CLINICO</t>
  </si>
  <si>
    <t>C FEDERICO GOMEZ</t>
  </si>
  <si>
    <t>B1500002571</t>
  </si>
  <si>
    <t>TONER</t>
  </si>
  <si>
    <t>B1500000343</t>
  </si>
  <si>
    <t>ALQUILER  DE FOTOCOPIDORA</t>
  </si>
  <si>
    <t>B1500000357</t>
  </si>
  <si>
    <t>B1500000356</t>
  </si>
  <si>
    <t>B1500000359</t>
  </si>
  <si>
    <t>B1500000368</t>
  </si>
  <si>
    <t>B1500000371</t>
  </si>
  <si>
    <t>B1500000369</t>
  </si>
  <si>
    <t>B1500000365</t>
  </si>
  <si>
    <t>B1500000370</t>
  </si>
  <si>
    <t>B1500000367</t>
  </si>
  <si>
    <t>B1500000366</t>
  </si>
  <si>
    <t>B1500000362</t>
  </si>
  <si>
    <t>B1500000363</t>
  </si>
  <si>
    <t>B1500000364</t>
  </si>
  <si>
    <t>B1500000372</t>
  </si>
  <si>
    <t>B1500000373</t>
  </si>
  <si>
    <t>B1500000374</t>
  </si>
  <si>
    <t>B1500000376</t>
  </si>
  <si>
    <t>B1500000377</t>
  </si>
  <si>
    <t>B1500000383</t>
  </si>
  <si>
    <t>B1500000242</t>
  </si>
  <si>
    <t>CRISTALIA</t>
  </si>
  <si>
    <t>B1500000294</t>
  </si>
  <si>
    <t>B1500000446</t>
  </si>
  <si>
    <t>B1500000490</t>
  </si>
  <si>
    <t>B1500000791</t>
  </si>
  <si>
    <t>DAF TRADING</t>
  </si>
  <si>
    <t>ALQUILER DE TRANSPORTE</t>
  </si>
  <si>
    <t>B1500000794</t>
  </si>
  <si>
    <t>ALQUILER TRANSPORTE</t>
  </si>
  <si>
    <t>B1500000227</t>
  </si>
  <si>
    <t>ENDO SERV</t>
  </si>
  <si>
    <t>B1500000251</t>
  </si>
  <si>
    <t>B1500000252</t>
  </si>
  <si>
    <t>B1500000266</t>
  </si>
  <si>
    <t>B1500000267</t>
  </si>
  <si>
    <t>B1500000236</t>
  </si>
  <si>
    <t>B1500000307</t>
  </si>
  <si>
    <t>B1500000001</t>
  </si>
  <si>
    <t>EVERMED</t>
  </si>
  <si>
    <t>MANTENIMIENTOS DE EQUIPOS</t>
  </si>
  <si>
    <t>B1500000003</t>
  </si>
  <si>
    <t>B1500000002</t>
  </si>
  <si>
    <t>B1500000004</t>
  </si>
  <si>
    <t>B1500001860</t>
  </si>
  <si>
    <t>B1500029351</t>
  </si>
  <si>
    <t>B1500030079</t>
  </si>
  <si>
    <t>B1500030392</t>
  </si>
  <si>
    <t>B1500030397</t>
  </si>
  <si>
    <t>B1500000138</t>
  </si>
  <si>
    <t>B1500000812</t>
  </si>
  <si>
    <t>FRIFARMA</t>
  </si>
  <si>
    <t>B1500001617</t>
  </si>
  <si>
    <t>B1500000095</t>
  </si>
  <si>
    <t>SERVICIOS DE FUMIGACION</t>
  </si>
  <si>
    <t>B1500000097</t>
  </si>
  <si>
    <t>FUMAGACION</t>
  </si>
  <si>
    <t>B1500001651</t>
  </si>
  <si>
    <t>HIDROMED</t>
  </si>
  <si>
    <t>B1500006362</t>
  </si>
  <si>
    <t>B1500002760</t>
  </si>
  <si>
    <t>HOSPIFAR</t>
  </si>
  <si>
    <t>B1500002945</t>
  </si>
  <si>
    <t>B1500003457</t>
  </si>
  <si>
    <t>B1500003474</t>
  </si>
  <si>
    <t>B1500003538</t>
  </si>
  <si>
    <t>B1500003587</t>
  </si>
  <si>
    <t>B0105086714</t>
  </si>
  <si>
    <t>INDUVECA</t>
  </si>
  <si>
    <t>COMPRA DE ALIMENTOS</t>
  </si>
  <si>
    <t>B0105129787</t>
  </si>
  <si>
    <t>B1500000326</t>
  </si>
  <si>
    <t>B1500000160</t>
  </si>
  <si>
    <t>ISMILE SHOP</t>
  </si>
  <si>
    <t>B15000011741</t>
  </si>
  <si>
    <t>LAMBDA DIAGNOSTICO</t>
  </si>
  <si>
    <t>B1500000253</t>
  </si>
  <si>
    <t>LUFISA COMERCIAL</t>
  </si>
  <si>
    <t>LUIS E BETANCES</t>
  </si>
  <si>
    <t>24/8/2020</t>
  </si>
  <si>
    <t>B1500000199</t>
  </si>
  <si>
    <t>LUIS E BETANCES R Y CO</t>
  </si>
  <si>
    <t>B1500004616</t>
  </si>
  <si>
    <t>B1500004655</t>
  </si>
  <si>
    <t>B1500000064</t>
  </si>
  <si>
    <t>MARTINEZ &amp; ASOCIADOS</t>
  </si>
  <si>
    <t>MANTENIMIENTO DE SISTEMA SIFHA</t>
  </si>
  <si>
    <t>B1500000347</t>
  </si>
  <si>
    <t>MEDKEY</t>
  </si>
  <si>
    <t>B1500004154</t>
  </si>
  <si>
    <t>OARN</t>
  </si>
  <si>
    <t>B1500004158</t>
  </si>
  <si>
    <t>B1500004157</t>
  </si>
  <si>
    <t>B1500004156</t>
  </si>
  <si>
    <t>B1500004155</t>
  </si>
  <si>
    <t>B1500003640</t>
  </si>
  <si>
    <t>OFFITECK</t>
  </si>
  <si>
    <t>COMPRA DE LAPTOS</t>
  </si>
  <si>
    <t>B1500000170</t>
  </si>
  <si>
    <t>OFTALQUIP</t>
  </si>
  <si>
    <t>B1500003874</t>
  </si>
  <si>
    <t>OSCAR A RENTA NEGRON</t>
  </si>
  <si>
    <t>B1500004091</t>
  </si>
  <si>
    <t>PENTAFARMA</t>
  </si>
  <si>
    <t>B1500000497</t>
  </si>
  <si>
    <t>B1500049512</t>
  </si>
  <si>
    <t>B1500050545</t>
  </si>
  <si>
    <t>B1500000141</t>
  </si>
  <si>
    <t>POHUT COMERCIAL</t>
  </si>
  <si>
    <t>B1500000295</t>
  </si>
  <si>
    <t>PROMEDCA</t>
  </si>
  <si>
    <t>B1500000985</t>
  </si>
  <si>
    <t>B1500000006</t>
  </si>
  <si>
    <t>B1500000970</t>
  </si>
  <si>
    <t>COMPRA TELESCOPIO</t>
  </si>
  <si>
    <t>B1500000974</t>
  </si>
  <si>
    <t>B1500000201</t>
  </si>
  <si>
    <t xml:space="preserve">PUBLIC MASTER </t>
  </si>
  <si>
    <t>IMPRESOS</t>
  </si>
  <si>
    <t>B1500001372</t>
  </si>
  <si>
    <t>QUIROFANOS LQ</t>
  </si>
  <si>
    <t>B1500001374</t>
  </si>
  <si>
    <t>B1500001379</t>
  </si>
  <si>
    <t>B1500000632</t>
  </si>
  <si>
    <t>RAMIREZ Y MOJICA</t>
  </si>
  <si>
    <t>MATERIAL DE MANTENIIENTOS</t>
  </si>
  <si>
    <t>B1500000104</t>
  </si>
  <si>
    <t>B1500000118</t>
  </si>
  <si>
    <t>B1500000125</t>
  </si>
  <si>
    <t>B1500001549</t>
  </si>
  <si>
    <t>20/7/2020</t>
  </si>
  <si>
    <t>B1500001426</t>
  </si>
  <si>
    <t>B1500001427</t>
  </si>
  <si>
    <t>B1500030205</t>
  </si>
  <si>
    <t>SEGUROS BANRESERVAS</t>
  </si>
  <si>
    <t>RENOVACION DE POLIZA DE VEHICULO</t>
  </si>
  <si>
    <t>B1500001246</t>
  </si>
  <si>
    <t>SEMINSA</t>
  </si>
  <si>
    <t>MANTENIMIENTO DE EQUIPOS</t>
  </si>
  <si>
    <t>B1500001410</t>
  </si>
  <si>
    <t>COMPRA DE MATERIAL MEDICO</t>
  </si>
  <si>
    <t>B1500001412</t>
  </si>
  <si>
    <t>B1500001416</t>
  </si>
  <si>
    <t>B1500001445</t>
  </si>
  <si>
    <t>B1500001444</t>
  </si>
  <si>
    <t>B1500001443</t>
  </si>
  <si>
    <t>B1500001470</t>
  </si>
  <si>
    <t>B1500001476</t>
  </si>
  <si>
    <t>B1500001475</t>
  </si>
  <si>
    <t>B1500001473</t>
  </si>
  <si>
    <t>B1500001472</t>
  </si>
  <si>
    <t>B1500001471</t>
  </si>
  <si>
    <t>B1500001474</t>
  </si>
  <si>
    <t>B1500001652</t>
  </si>
  <si>
    <t>MATENIMIENTO DE EQUIPO</t>
  </si>
  <si>
    <t>B1500001670</t>
  </si>
  <si>
    <t>B1500001668</t>
  </si>
  <si>
    <t>B1500001667</t>
  </si>
  <si>
    <t>B1500001669</t>
  </si>
  <si>
    <t>B1500001666</t>
  </si>
  <si>
    <t>B1500001665</t>
  </si>
  <si>
    <t>B1500001664</t>
  </si>
  <si>
    <t>B1500001661</t>
  </si>
  <si>
    <t>B1500001656</t>
  </si>
  <si>
    <t>B1500001663</t>
  </si>
  <si>
    <t>B1500001659</t>
  </si>
  <si>
    <t>B1500001657</t>
  </si>
  <si>
    <t>B1500001658</t>
  </si>
  <si>
    <t>B1500001660</t>
  </si>
  <si>
    <t>B1500001662</t>
  </si>
  <si>
    <t>B1500000041</t>
  </si>
  <si>
    <t>B1500000042</t>
  </si>
  <si>
    <t>B1500000043</t>
  </si>
  <si>
    <t>B1500000044</t>
  </si>
  <si>
    <t>B1500009981</t>
  </si>
  <si>
    <t>SUED &amp; FARGESA</t>
  </si>
  <si>
    <t>B1500009980</t>
  </si>
  <si>
    <t>B1500010539</t>
  </si>
  <si>
    <t>B1500010683</t>
  </si>
  <si>
    <t>B1500010684</t>
  </si>
  <si>
    <t>B1500010709</t>
  </si>
  <si>
    <t>B1500011442</t>
  </si>
  <si>
    <t>B1500011639</t>
  </si>
  <si>
    <t>B1500011644</t>
  </si>
  <si>
    <t>B1500011709</t>
  </si>
  <si>
    <t>RECATIVOS LABORATORIOS</t>
  </si>
  <si>
    <t>B1500000226</t>
  </si>
  <si>
    <t>B1500000910</t>
  </si>
  <si>
    <t>SUPERMERCADO CARIBE</t>
  </si>
  <si>
    <t>B1500001177</t>
  </si>
  <si>
    <t>B1500000946</t>
  </si>
  <si>
    <t>B1500000947</t>
  </si>
  <si>
    <t>B1500000625</t>
  </si>
  <si>
    <t>SUPLIDORA DANIELA</t>
  </si>
  <si>
    <t>B1500000626</t>
  </si>
  <si>
    <t>COMPRA DE MATERIAL DE OFICINA</t>
  </si>
  <si>
    <t>B1500000685</t>
  </si>
  <si>
    <t>B1500003010</t>
  </si>
  <si>
    <t>SUPLIMED</t>
  </si>
  <si>
    <t>B1500000506</t>
  </si>
  <si>
    <t>TCO NETWORKS</t>
  </si>
  <si>
    <t>B1500000050</t>
  </si>
  <si>
    <t>TRANSPORTE FERNANDEZ JAQUEZ</t>
  </si>
  <si>
    <t>B1500000051</t>
  </si>
  <si>
    <t>B1500000052</t>
  </si>
  <si>
    <t>B1500000053</t>
  </si>
  <si>
    <t>B1500000054</t>
  </si>
  <si>
    <t>B1500000055</t>
  </si>
  <si>
    <t>B1500000056</t>
  </si>
  <si>
    <t>TRIGAS</t>
  </si>
  <si>
    <t>REGULADO DE OXIGENO</t>
  </si>
  <si>
    <t>GAS</t>
  </si>
  <si>
    <t>B0102194140</t>
  </si>
  <si>
    <t>B0102206917</t>
  </si>
  <si>
    <t>B0102353845</t>
  </si>
  <si>
    <t>B0102353050</t>
  </si>
  <si>
    <t>B1500001378</t>
  </si>
  <si>
    <t>ULTRALAB</t>
  </si>
  <si>
    <t>B1500001703</t>
  </si>
  <si>
    <t>B1500001708</t>
  </si>
  <si>
    <t>B1500002672</t>
  </si>
  <si>
    <t>UNIQUE</t>
  </si>
  <si>
    <t>26/03/2020</t>
  </si>
  <si>
    <t>B1500001197</t>
  </si>
  <si>
    <t>28/08/2020</t>
  </si>
  <si>
    <t>B1500001573</t>
  </si>
  <si>
    <t>TOTAL</t>
  </si>
  <si>
    <t>COMPROMISO DE DEUDAS AL 30 DE SEPTIEMBRE  2021</t>
  </si>
  <si>
    <t>Relacion Cuentas por Pagar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</si>
</sst>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0.000000%"/>
    <numFmt numFmtId="168" formatCode="_(* #,##0.0000_);_(* \(#,##0.0000\);_(* &quot;-&quot;??_);_(@_)"/>
    <numFmt numFmtId="169" formatCode="0.0000%"/>
    <numFmt numFmtId="170" formatCode="0.000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31F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4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9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9" applyFont="1" applyAlignment="1">
      <alignment vertical="center"/>
    </xf>
    <xf numFmtId="43" fontId="5" fillId="0" borderId="1" xfId="9" applyFont="1" applyBorder="1" applyAlignment="1">
      <alignment horizontal="center" vertical="center"/>
    </xf>
    <xf numFmtId="43" fontId="5" fillId="0" borderId="0" xfId="9" applyFont="1" applyAlignment="1">
      <alignment vertical="center"/>
    </xf>
    <xf numFmtId="0" fontId="0" fillId="0" borderId="0" xfId="0" applyFont="1" applyAlignment="1">
      <alignment vertical="center" wrapText="1"/>
    </xf>
    <xf numFmtId="43" fontId="0" fillId="0" borderId="0" xfId="9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14" applyNumberFormat="1" applyFont="1" applyFill="1" applyAlignment="1">
      <alignment vertical="center" wrapText="1"/>
    </xf>
    <xf numFmtId="0" fontId="9" fillId="0" borderId="0" xfId="14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5" fillId="0" borderId="5" xfId="9" applyFont="1" applyBorder="1"/>
    <xf numFmtId="0" fontId="6" fillId="3" borderId="0" xfId="0" applyFont="1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43" fontId="3" fillId="3" borderId="0" xfId="9" applyFont="1" applyFill="1" applyAlignment="1">
      <alignment horizontal="right" vertical="center"/>
    </xf>
    <xf numFmtId="43" fontId="0" fillId="3" borderId="0" xfId="9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3" fillId="3" borderId="2" xfId="9" applyFont="1" applyFill="1" applyBorder="1" applyAlignment="1">
      <alignment horizontal="right" vertical="center"/>
    </xf>
    <xf numFmtId="43" fontId="6" fillId="3" borderId="0" xfId="9" applyFont="1" applyFill="1"/>
    <xf numFmtId="43" fontId="3" fillId="3" borderId="3" xfId="9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3" fontId="3" fillId="3" borderId="5" xfId="9" applyFont="1" applyFill="1" applyBorder="1" applyAlignment="1">
      <alignment horizontal="right" vertical="center"/>
    </xf>
    <xf numFmtId="2" fontId="0" fillId="0" borderId="0" xfId="9" applyNumberFormat="1" applyFont="1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43" fontId="0" fillId="4" borderId="0" xfId="9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9" applyFont="1" applyAlignment="1">
      <alignment horizontal="center" vertical="center"/>
    </xf>
    <xf numFmtId="43" fontId="3" fillId="3" borderId="0" xfId="9" applyFont="1" applyFill="1" applyAlignment="1">
      <alignment horizontal="center" vertical="center"/>
    </xf>
    <xf numFmtId="43" fontId="0" fillId="3" borderId="0" xfId="9" applyFont="1" applyFill="1" applyAlignment="1">
      <alignment horizontal="center" vertical="center"/>
    </xf>
    <xf numFmtId="43" fontId="3" fillId="3" borderId="2" xfId="9" applyFont="1" applyFill="1" applyBorder="1" applyAlignment="1">
      <alignment horizontal="center" vertical="center"/>
    </xf>
    <xf numFmtId="43" fontId="6" fillId="3" borderId="0" xfId="9" applyFont="1" applyFill="1" applyAlignment="1">
      <alignment horizontal="center"/>
    </xf>
    <xf numFmtId="43" fontId="3" fillId="3" borderId="3" xfId="9" applyFont="1" applyFill="1" applyBorder="1" applyAlignment="1">
      <alignment horizontal="center" vertical="center"/>
    </xf>
    <xf numFmtId="43" fontId="3" fillId="3" borderId="4" xfId="9" applyFont="1" applyFill="1" applyBorder="1" applyAlignment="1">
      <alignment horizontal="center" vertical="center"/>
    </xf>
    <xf numFmtId="43" fontId="3" fillId="3" borderId="5" xfId="9" applyFont="1" applyFill="1" applyBorder="1" applyAlignment="1">
      <alignment horizontal="center" vertical="center"/>
    </xf>
    <xf numFmtId="43" fontId="0" fillId="0" borderId="0" xfId="9" applyFont="1" applyAlignment="1">
      <alignment horizontal="center" vertical="center" wrapText="1"/>
    </xf>
    <xf numFmtId="43" fontId="5" fillId="3" borderId="0" xfId="9" applyFont="1" applyFill="1" applyAlignment="1">
      <alignment horizontal="center" vertical="center" wrapText="1"/>
    </xf>
    <xf numFmtId="43" fontId="7" fillId="3" borderId="0" xfId="9" applyFont="1" applyFill="1" applyAlignment="1">
      <alignment horizontal="center" vertical="center"/>
    </xf>
    <xf numFmtId="43" fontId="0" fillId="0" borderId="0" xfId="9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5" fillId="0" borderId="1" xfId="9" applyNumberFormat="1" applyFont="1" applyBorder="1" applyAlignment="1">
      <alignment horizontal="right" vertical="center"/>
    </xf>
    <xf numFmtId="49" fontId="0" fillId="0" borderId="0" xfId="9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0" fontId="0" fillId="0" borderId="0" xfId="13" applyNumberFormat="1" applyFont="1" applyAlignment="1">
      <alignment horizontal="center" vertical="center"/>
    </xf>
    <xf numFmtId="43" fontId="5" fillId="0" borderId="0" xfId="9" applyFont="1" applyBorder="1" applyAlignment="1">
      <alignment horizontal="center" vertical="center"/>
    </xf>
    <xf numFmtId="167" fontId="0" fillId="0" borderId="0" xfId="13" applyNumberFormat="1" applyFont="1" applyAlignment="1">
      <alignment horizontal="center" vertical="center"/>
    </xf>
    <xf numFmtId="2" fontId="3" fillId="3" borderId="0" xfId="9" applyNumberFormat="1" applyFont="1" applyFill="1" applyAlignment="1">
      <alignment horizontal="right" vertical="center"/>
    </xf>
    <xf numFmtId="2" fontId="3" fillId="3" borderId="3" xfId="9" applyNumberFormat="1" applyFont="1" applyFill="1" applyBorder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43" fontId="0" fillId="2" borderId="0" xfId="9" applyFont="1" applyFill="1" applyAlignment="1">
      <alignment vertical="center"/>
    </xf>
    <xf numFmtId="43" fontId="3" fillId="2" borderId="0" xfId="9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5" fillId="0" borderId="1" xfId="9" applyFont="1" applyBorder="1"/>
    <xf numFmtId="0" fontId="5" fillId="0" borderId="0" xfId="0" applyFont="1" applyAlignment="1">
      <alignment horizontal="center"/>
    </xf>
    <xf numFmtId="43" fontId="0" fillId="0" borderId="0" xfId="9" applyFont="1" applyFill="1"/>
    <xf numFmtId="43" fontId="0" fillId="0" borderId="0" xfId="0" applyNumberFormat="1" applyFill="1"/>
    <xf numFmtId="43" fontId="0" fillId="0" borderId="0" xfId="9" applyFont="1" applyFill="1" applyAlignment="1">
      <alignment horizontal="righ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3" fontId="5" fillId="0" borderId="0" xfId="9" applyFont="1"/>
    <xf numFmtId="10" fontId="0" fillId="0" borderId="0" xfId="13" applyNumberFormat="1" applyFont="1"/>
    <xf numFmtId="10" fontId="5" fillId="0" borderId="0" xfId="13" applyNumberFormat="1" applyFont="1"/>
    <xf numFmtId="0" fontId="0" fillId="0" borderId="0" xfId="0" applyFont="1"/>
    <xf numFmtId="4" fontId="0" fillId="0" borderId="0" xfId="0" applyNumberFormat="1"/>
    <xf numFmtId="43" fontId="9" fillId="0" borderId="0" xfId="9" applyFont="1" applyFill="1" applyAlignment="1">
      <alignment vertical="center"/>
    </xf>
    <xf numFmtId="2" fontId="3" fillId="2" borderId="0" xfId="9" applyNumberFormat="1" applyFont="1" applyFill="1" applyAlignment="1">
      <alignment horizontal="right" vertical="center"/>
    </xf>
    <xf numFmtId="0" fontId="9" fillId="0" borderId="0" xfId="14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14" applyFont="1" applyFill="1" applyAlignment="1">
      <alignment vertical="center"/>
    </xf>
    <xf numFmtId="0" fontId="10" fillId="0" borderId="0" xfId="0" applyFont="1" applyAlignment="1">
      <alignment vertical="center" wrapText="1"/>
    </xf>
    <xf numFmtId="4" fontId="2" fillId="0" borderId="0" xfId="14" applyNumberFormat="1" applyFont="1" applyFill="1"/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9" fillId="0" borderId="0" xfId="14" applyNumberFormat="1" applyFont="1" applyFill="1" applyBorder="1"/>
    <xf numFmtId="4" fontId="9" fillId="0" borderId="0" xfId="14" applyNumberFormat="1" applyFont="1" applyFill="1"/>
    <xf numFmtId="4" fontId="9" fillId="0" borderId="5" xfId="14" applyNumberFormat="1" applyFont="1" applyFill="1" applyBorder="1"/>
    <xf numFmtId="4" fontId="2" fillId="0" borderId="0" xfId="14" applyNumberFormat="1" applyFont="1" applyFill="1" applyAlignment="1">
      <alignment vertical="center"/>
    </xf>
    <xf numFmtId="0" fontId="5" fillId="0" borderId="0" xfId="0" applyFont="1" applyAlignment="1">
      <alignment wrapText="1"/>
    </xf>
    <xf numFmtId="0" fontId="9" fillId="0" borderId="0" xfId="14" applyFont="1" applyFill="1" applyAlignment="1">
      <alignment horizontal="left" vertical="center" wrapText="1"/>
    </xf>
    <xf numFmtId="0" fontId="13" fillId="0" borderId="0" xfId="14" applyFont="1" applyFill="1" applyAlignment="1">
      <alignment vertical="center" wrapText="1"/>
    </xf>
    <xf numFmtId="0" fontId="2" fillId="0" borderId="0" xfId="14" applyFont="1" applyFill="1" applyAlignment="1">
      <alignment vertical="center" wrapText="1"/>
    </xf>
    <xf numFmtId="0" fontId="9" fillId="0" borderId="0" xfId="14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0" fillId="0" borderId="7" xfId="9" applyFont="1" applyBorder="1"/>
    <xf numFmtId="43" fontId="0" fillId="0" borderId="0" xfId="9" applyFont="1" applyBorder="1"/>
    <xf numFmtId="43" fontId="2" fillId="0" borderId="0" xfId="9" applyFont="1" applyFill="1" applyAlignment="1">
      <alignment vertical="center"/>
    </xf>
    <xf numFmtId="164" fontId="0" fillId="0" borderId="0" xfId="0" applyNumberFormat="1"/>
    <xf numFmtId="164" fontId="2" fillId="0" borderId="0" xfId="14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164" fontId="5" fillId="0" borderId="0" xfId="0" applyNumberFormat="1" applyFont="1"/>
    <xf numFmtId="0" fontId="0" fillId="0" borderId="0" xfId="0" applyNumberFormat="1"/>
    <xf numFmtId="0" fontId="9" fillId="0" borderId="0" xfId="14" applyFont="1" applyFill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5" fillId="0" borderId="0" xfId="13" applyFont="1" applyBorder="1" applyAlignment="1">
      <alignment horizontal="center"/>
    </xf>
    <xf numFmtId="10" fontId="0" fillId="0" borderId="0" xfId="13" applyNumberFormat="1" applyFont="1" applyBorder="1" applyAlignment="1">
      <alignment horizontal="center"/>
    </xf>
    <xf numFmtId="10" fontId="5" fillId="0" borderId="0" xfId="13" applyNumberFormat="1" applyFont="1" applyBorder="1" applyAlignment="1">
      <alignment horizontal="center"/>
    </xf>
    <xf numFmtId="10" fontId="1" fillId="0" borderId="0" xfId="13" applyNumberFormat="1" applyFont="1" applyBorder="1" applyAlignment="1">
      <alignment horizontal="center"/>
    </xf>
    <xf numFmtId="43" fontId="5" fillId="0" borderId="8" xfId="9" applyFont="1" applyBorder="1"/>
    <xf numFmtId="43" fontId="5" fillId="0" borderId="7" xfId="9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0" fillId="0" borderId="0" xfId="13" applyNumberFormat="1" applyFont="1" applyBorder="1"/>
    <xf numFmtId="10" fontId="5" fillId="0" borderId="9" xfId="13" applyNumberFormat="1" applyFont="1" applyBorder="1"/>
    <xf numFmtId="10" fontId="5" fillId="0" borderId="0" xfId="13" applyNumberFormat="1" applyFont="1" applyBorder="1"/>
    <xf numFmtId="0" fontId="0" fillId="0" borderId="0" xfId="0" applyFont="1" applyAlignment="1">
      <alignment vertical="center"/>
    </xf>
    <xf numFmtId="43" fontId="5" fillId="0" borderId="8" xfId="0" applyNumberFormat="1" applyFont="1" applyBorder="1"/>
    <xf numFmtId="43" fontId="5" fillId="0" borderId="7" xfId="0" applyNumberFormat="1" applyFont="1" applyBorder="1"/>
    <xf numFmtId="164" fontId="5" fillId="0" borderId="7" xfId="0" applyNumberFormat="1" applyFont="1" applyBorder="1"/>
    <xf numFmtId="43" fontId="0" fillId="0" borderId="7" xfId="0" applyNumberFormat="1" applyBorder="1"/>
    <xf numFmtId="10" fontId="0" fillId="0" borderId="0" xfId="13" quotePrefix="1" applyNumberFormat="1" applyFont="1" applyBorder="1"/>
    <xf numFmtId="43" fontId="5" fillId="0" borderId="0" xfId="9" applyFont="1" applyBorder="1"/>
    <xf numFmtId="10" fontId="5" fillId="0" borderId="0" xfId="13" quotePrefix="1" applyNumberFormat="1" applyFont="1" applyBorder="1"/>
    <xf numFmtId="4" fontId="5" fillId="0" borderId="8" xfId="0" applyNumberFormat="1" applyFont="1" applyBorder="1"/>
    <xf numFmtId="4" fontId="5" fillId="0" borderId="7" xfId="0" applyNumberFormat="1" applyFont="1" applyBorder="1"/>
    <xf numFmtId="164" fontId="0" fillId="0" borderId="0" xfId="0" applyNumberFormat="1" applyAlignment="1">
      <alignment vertical="center"/>
    </xf>
    <xf numFmtId="10" fontId="0" fillId="0" borderId="9" xfId="13" applyNumberFormat="1" applyFont="1" applyBorder="1"/>
    <xf numFmtId="43" fontId="5" fillId="0" borderId="0" xfId="9" applyFont="1" applyBorder="1" applyAlignment="1">
      <alignment horizontal="center"/>
    </xf>
    <xf numFmtId="43" fontId="0" fillId="0" borderId="8" xfId="0" applyNumberFormat="1" applyBorder="1"/>
    <xf numFmtId="164" fontId="0" fillId="0" borderId="7" xfId="0" applyNumberFormat="1" applyBorder="1"/>
    <xf numFmtId="10" fontId="0" fillId="0" borderId="0" xfId="0" applyNumberFormat="1"/>
    <xf numFmtId="43" fontId="5" fillId="0" borderId="1" xfId="9" applyFont="1" applyBorder="1" applyAlignment="1">
      <alignment horizontal="right" vertical="center"/>
    </xf>
    <xf numFmtId="10" fontId="5" fillId="0" borderId="7" xfId="13" applyNumberFormat="1" applyFont="1" applyBorder="1" applyAlignment="1">
      <alignment horizontal="center"/>
    </xf>
    <xf numFmtId="10" fontId="5" fillId="0" borderId="7" xfId="13" applyNumberFormat="1" applyFont="1" applyBorder="1"/>
    <xf numFmtId="43" fontId="0" fillId="0" borderId="0" xfId="9" applyNumberFormat="1" applyFont="1" applyAlignment="1">
      <alignment horizontal="center" vertical="center"/>
    </xf>
    <xf numFmtId="43" fontId="0" fillId="0" borderId="0" xfId="0" applyNumberFormat="1" applyBorder="1"/>
    <xf numFmtId="0" fontId="0" fillId="0" borderId="0" xfId="0" applyFont="1" applyBorder="1" applyAlignment="1">
      <alignment horizontal="center"/>
    </xf>
    <xf numFmtId="10" fontId="1" fillId="0" borderId="0" xfId="13" applyNumberFormat="1" applyFont="1" applyBorder="1"/>
    <xf numFmtId="43" fontId="0" fillId="0" borderId="0" xfId="9" applyNumberFormat="1" applyFont="1" applyBorder="1"/>
    <xf numFmtId="0" fontId="9" fillId="0" borderId="0" xfId="14" applyFont="1" applyFill="1" applyAlignment="1">
      <alignment horizontal="center" vertical="center"/>
    </xf>
    <xf numFmtId="43" fontId="0" fillId="4" borderId="0" xfId="9" applyFont="1" applyFill="1" applyAlignment="1">
      <alignment vertical="center"/>
    </xf>
    <xf numFmtId="43" fontId="0" fillId="0" borderId="0" xfId="9" quotePrefix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" fontId="16" fillId="0" borderId="0" xfId="14" applyNumberFormat="1" applyFont="1" applyFill="1"/>
    <xf numFmtId="10" fontId="0" fillId="0" borderId="0" xfId="13" applyNumberFormat="1" applyFont="1" applyAlignment="1">
      <alignment horizontal="center"/>
    </xf>
    <xf numFmtId="0" fontId="5" fillId="5" borderId="0" xfId="0" applyFont="1" applyFill="1"/>
    <xf numFmtId="0" fontId="0" fillId="5" borderId="0" xfId="0" applyFill="1"/>
    <xf numFmtId="0" fontId="5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43" fontId="0" fillId="5" borderId="0" xfId="9" applyFont="1" applyFill="1" applyAlignment="1">
      <alignment horizontal="center" vertical="center"/>
    </xf>
    <xf numFmtId="10" fontId="0" fillId="5" borderId="0" xfId="13" applyNumberFormat="1" applyFont="1" applyFill="1"/>
    <xf numFmtId="0" fontId="5" fillId="5" borderId="0" xfId="0" applyFont="1" applyFill="1" applyAlignment="1">
      <alignment vertical="center"/>
    </xf>
    <xf numFmtId="43" fontId="5" fillId="5" borderId="8" xfId="9" applyFont="1" applyFill="1" applyBorder="1"/>
    <xf numFmtId="43" fontId="5" fillId="5" borderId="7" xfId="9" applyFont="1" applyFill="1" applyBorder="1"/>
    <xf numFmtId="10" fontId="5" fillId="5" borderId="9" xfId="13" applyNumberFormat="1" applyFont="1" applyFill="1" applyBorder="1"/>
    <xf numFmtId="43" fontId="0" fillId="5" borderId="0" xfId="9" applyFont="1" applyFill="1"/>
    <xf numFmtId="4" fontId="0" fillId="0" borderId="0" xfId="0" applyNumberFormat="1" applyFill="1"/>
    <xf numFmtId="0" fontId="5" fillId="0" borderId="0" xfId="0" applyFont="1" applyFill="1"/>
    <xf numFmtId="0" fontId="0" fillId="0" borderId="0" xfId="0" applyFill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43" fontId="0" fillId="0" borderId="0" xfId="9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3" fontId="5" fillId="0" borderId="8" xfId="0" applyNumberFormat="1" applyFont="1" applyFill="1" applyBorder="1"/>
    <xf numFmtId="43" fontId="5" fillId="0" borderId="7" xfId="0" applyNumberFormat="1" applyFont="1" applyFill="1" applyBorder="1"/>
    <xf numFmtId="10" fontId="5" fillId="0" borderId="9" xfId="13" applyNumberFormat="1" applyFont="1" applyFill="1" applyBorder="1"/>
    <xf numFmtId="0" fontId="0" fillId="0" borderId="0" xfId="0" applyFill="1" applyAlignment="1">
      <alignment vertical="center"/>
    </xf>
    <xf numFmtId="10" fontId="0" fillId="0" borderId="0" xfId="13" applyNumberFormat="1" applyFont="1" applyFill="1"/>
    <xf numFmtId="164" fontId="5" fillId="0" borderId="7" xfId="0" applyNumberFormat="1" applyFont="1" applyFill="1" applyBorder="1"/>
    <xf numFmtId="0" fontId="17" fillId="0" borderId="0" xfId="0" applyFont="1"/>
    <xf numFmtId="0" fontId="18" fillId="0" borderId="0" xfId="0" applyFont="1"/>
    <xf numFmtId="43" fontId="5" fillId="0" borderId="0" xfId="9" applyFont="1" applyFill="1"/>
    <xf numFmtId="43" fontId="5" fillId="0" borderId="0" xfId="9" applyFont="1" applyFill="1" applyBorder="1"/>
    <xf numFmtId="43" fontId="5" fillId="0" borderId="8" xfId="9" applyFont="1" applyFill="1" applyBorder="1"/>
    <xf numFmtId="43" fontId="5" fillId="0" borderId="7" xfId="9" applyFont="1" applyFill="1" applyBorder="1"/>
    <xf numFmtId="43" fontId="0" fillId="0" borderId="7" xfId="9" applyFont="1" applyFill="1" applyBorder="1"/>
    <xf numFmtId="0" fontId="0" fillId="0" borderId="0" xfId="0" applyAlignment="1"/>
    <xf numFmtId="43" fontId="0" fillId="0" borderId="0" xfId="9" applyFont="1" applyAlignment="1"/>
    <xf numFmtId="43" fontId="0" fillId="0" borderId="0" xfId="9" applyFont="1" applyBorder="1" applyAlignment="1"/>
    <xf numFmtId="0" fontId="0" fillId="0" borderId="10" xfId="0" applyBorder="1"/>
    <xf numFmtId="0" fontId="20" fillId="2" borderId="10" xfId="0" applyFont="1" applyFill="1" applyBorder="1" applyAlignment="1">
      <alignment horizontal="left"/>
    </xf>
    <xf numFmtId="0" fontId="20" fillId="2" borderId="10" xfId="0" applyFont="1" applyFill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/>
    <xf numFmtId="43" fontId="0" fillId="0" borderId="6" xfId="9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6" xfId="9" applyFont="1" applyFill="1" applyBorder="1" applyAlignment="1">
      <alignment horizontal="right" vertical="center"/>
    </xf>
    <xf numFmtId="43" fontId="7" fillId="0" borderId="6" xfId="9" applyFont="1" applyFill="1" applyBorder="1" applyAlignment="1">
      <alignment horizontal="center" vertical="center"/>
    </xf>
    <xf numFmtId="4" fontId="9" fillId="0" borderId="7" xfId="14" applyNumberFormat="1" applyFont="1" applyFill="1" applyBorder="1"/>
    <xf numFmtId="43" fontId="0" fillId="0" borderId="6" xfId="9" applyFont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6" xfId="9" applyFont="1" applyBorder="1"/>
    <xf numFmtId="0" fontId="5" fillId="0" borderId="0" xfId="0" applyFont="1" applyFill="1" applyBorder="1" applyAlignment="1">
      <alignment horizont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0" fontId="0" fillId="0" borderId="0" xfId="0" applyFont="1" applyFill="1"/>
    <xf numFmtId="0" fontId="0" fillId="0" borderId="0" xfId="0" applyFill="1" applyBorder="1"/>
    <xf numFmtId="43" fontId="21" fillId="0" borderId="0" xfId="0" applyNumberFormat="1" applyFont="1"/>
    <xf numFmtId="0" fontId="22" fillId="0" borderId="0" xfId="0" applyFont="1"/>
    <xf numFmtId="43" fontId="0" fillId="7" borderId="0" xfId="0" applyNumberFormat="1" applyFill="1"/>
    <xf numFmtId="0" fontId="5" fillId="0" borderId="0" xfId="0" applyFont="1" applyFill="1" applyAlignment="1">
      <alignment horizontal="left"/>
    </xf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 applyFill="1"/>
    <xf numFmtId="0" fontId="9" fillId="0" borderId="0" xfId="14" applyFont="1" applyFill="1" applyAlignment="1">
      <alignment horizontal="center" vertical="center"/>
    </xf>
    <xf numFmtId="0" fontId="23" fillId="0" borderId="0" xfId="0" applyFont="1"/>
    <xf numFmtId="168" fontId="0" fillId="0" borderId="0" xfId="9" applyNumberFormat="1" applyFont="1"/>
    <xf numFmtId="0" fontId="10" fillId="0" borderId="0" xfId="0" applyFont="1" applyAlignment="1">
      <alignment horizontal="center" vertical="center" wrapText="1"/>
    </xf>
    <xf numFmtId="43" fontId="0" fillId="0" borderId="0" xfId="0" applyNumberFormat="1" applyFill="1" applyBorder="1"/>
    <xf numFmtId="164" fontId="0" fillId="0" borderId="0" xfId="0" applyNumberFormat="1" applyBorder="1"/>
    <xf numFmtId="0" fontId="5" fillId="0" borderId="6" xfId="0" applyFont="1" applyBorder="1" applyAlignment="1">
      <alignment horizontal="center"/>
    </xf>
    <xf numFmtId="10" fontId="5" fillId="0" borderId="7" xfId="13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/>
    </xf>
    <xf numFmtId="164" fontId="0" fillId="0" borderId="0" xfId="0" applyNumberFormat="1" applyFill="1"/>
    <xf numFmtId="0" fontId="5" fillId="0" borderId="6" xfId="0" applyFont="1" applyFill="1" applyBorder="1" applyAlignment="1">
      <alignment horizontal="center"/>
    </xf>
    <xf numFmtId="10" fontId="0" fillId="0" borderId="7" xfId="13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6" xfId="13" applyNumberFormat="1" applyFont="1" applyBorder="1" applyAlignment="1">
      <alignment horizontal="center"/>
    </xf>
    <xf numFmtId="43" fontId="5" fillId="0" borderId="7" xfId="9" applyFont="1" applyBorder="1" applyAlignment="1">
      <alignment horizontal="right" vertical="center"/>
    </xf>
    <xf numFmtId="43" fontId="2" fillId="0" borderId="0" xfId="9" applyFont="1" applyFill="1" applyBorder="1"/>
    <xf numFmtId="43" fontId="0" fillId="0" borderId="7" xfId="9" applyFont="1" applyBorder="1" applyAlignment="1">
      <alignment horizontal="center" vertical="center"/>
    </xf>
    <xf numFmtId="43" fontId="5" fillId="0" borderId="6" xfId="0" applyNumberFormat="1" applyFont="1" applyBorder="1"/>
    <xf numFmtId="43" fontId="0" fillId="0" borderId="0" xfId="9" applyFont="1" applyBorder="1" applyAlignment="1">
      <alignment horizontal="center"/>
    </xf>
    <xf numFmtId="10" fontId="0" fillId="0" borderId="0" xfId="13" applyNumberFormat="1" applyFont="1" applyFill="1" applyBorder="1" applyAlignment="1">
      <alignment horizontal="center"/>
    </xf>
    <xf numFmtId="10" fontId="0" fillId="0" borderId="6" xfId="13" applyNumberFormat="1" applyFont="1" applyFill="1" applyBorder="1" applyAlignment="1">
      <alignment horizontal="center"/>
    </xf>
    <xf numFmtId="10" fontId="5" fillId="0" borderId="7" xfId="1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10" fontId="5" fillId="0" borderId="0" xfId="13" applyNumberFormat="1" applyFont="1" applyBorder="1" applyAlignment="1">
      <alignment horizontal="center" vertical="center"/>
    </xf>
    <xf numFmtId="10" fontId="5" fillId="0" borderId="6" xfId="13" applyNumberFormat="1" applyFont="1" applyBorder="1" applyAlignment="1">
      <alignment horizontal="center"/>
    </xf>
    <xf numFmtId="43" fontId="1" fillId="0" borderId="0" xfId="9" applyFont="1" applyAlignment="1">
      <alignment horizontal="center" vertical="center"/>
    </xf>
    <xf numFmtId="43" fontId="2" fillId="0" borderId="0" xfId="14" applyNumberFormat="1" applyFont="1" applyFill="1" applyAlignment="1">
      <alignment vertical="center"/>
    </xf>
    <xf numFmtId="0" fontId="15" fillId="0" borderId="0" xfId="0" applyFont="1" applyFill="1"/>
    <xf numFmtId="43" fontId="2" fillId="0" borderId="0" xfId="9" applyFont="1" applyFill="1" applyBorder="1" applyAlignment="1">
      <alignment vertical="center"/>
    </xf>
    <xf numFmtId="43" fontId="7" fillId="0" borderId="2" xfId="9" applyFont="1" applyFill="1" applyBorder="1" applyAlignment="1">
      <alignment horizontal="right" vertical="center"/>
    </xf>
    <xf numFmtId="2" fontId="7" fillId="0" borderId="0" xfId="9" applyNumberFormat="1" applyFont="1" applyFill="1" applyAlignment="1">
      <alignment horizontal="right" vertical="center"/>
    </xf>
    <xf numFmtId="43" fontId="7" fillId="0" borderId="2" xfId="9" applyFont="1" applyFill="1" applyBorder="1" applyAlignment="1">
      <alignment horizontal="center" vertical="center"/>
    </xf>
    <xf numFmtId="43" fontId="0" fillId="0" borderId="0" xfId="9" quotePrefix="1" applyFont="1" applyBorder="1"/>
    <xf numFmtId="43" fontId="5" fillId="0" borderId="0" xfId="9" quotePrefix="1" applyFont="1" applyBorder="1"/>
    <xf numFmtId="0" fontId="9" fillId="0" borderId="0" xfId="14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2" fillId="0" borderId="0" xfId="14" applyNumberFormat="1" applyFont="1" applyFill="1" applyBorder="1"/>
    <xf numFmtId="4" fontId="16" fillId="0" borderId="0" xfId="14" applyNumberFormat="1" applyFont="1" applyFill="1" applyBorder="1"/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169" fontId="0" fillId="0" borderId="0" xfId="13" applyNumberFormat="1" applyFont="1" applyAlignment="1">
      <alignment horizontal="center" vertical="center"/>
    </xf>
    <xf numFmtId="9" fontId="0" fillId="0" borderId="0" xfId="13" applyNumberFormat="1" applyFont="1" applyAlignment="1">
      <alignment horizontal="center" vertical="center"/>
    </xf>
    <xf numFmtId="170" fontId="0" fillId="0" borderId="0" xfId="13" applyNumberFormat="1" applyFont="1" applyAlignment="1">
      <alignment horizontal="center" vertical="center"/>
    </xf>
    <xf numFmtId="43" fontId="1" fillId="0" borderId="0" xfId="9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9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2" fontId="3" fillId="0" borderId="0" xfId="9" applyNumberFormat="1" applyFont="1" applyFill="1" applyAlignment="1">
      <alignment horizontal="right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right" vertical="center"/>
    </xf>
    <xf numFmtId="43" fontId="3" fillId="0" borderId="3" xfId="9" applyFont="1" applyFill="1" applyBorder="1" applyAlignment="1">
      <alignment horizontal="center" vertical="center"/>
    </xf>
    <xf numFmtId="43" fontId="3" fillId="0" borderId="4" xfId="9" applyFont="1" applyFill="1" applyBorder="1" applyAlignment="1">
      <alignment horizontal="center" vertical="center"/>
    </xf>
    <xf numFmtId="43" fontId="5" fillId="0" borderId="5" xfId="9" applyFont="1" applyFill="1" applyBorder="1"/>
    <xf numFmtId="0" fontId="9" fillId="0" borderId="0" xfId="14" applyFont="1" applyFill="1" applyBorder="1" applyAlignment="1">
      <alignment vertical="center"/>
    </xf>
    <xf numFmtId="43" fontId="9" fillId="0" borderId="0" xfId="9" applyFont="1" applyFill="1" applyBorder="1" applyAlignment="1">
      <alignment vertical="center"/>
    </xf>
    <xf numFmtId="0" fontId="9" fillId="0" borderId="0" xfId="14" applyFont="1" applyFill="1" applyBorder="1" applyAlignment="1">
      <alignment horizontal="center" vertical="center"/>
    </xf>
    <xf numFmtId="0" fontId="11" fillId="0" borderId="0" xfId="14" applyFont="1" applyFill="1" applyBorder="1" applyAlignment="1">
      <alignment vertical="center"/>
    </xf>
    <xf numFmtId="43" fontId="11" fillId="0" borderId="0" xfId="9" applyFont="1" applyFill="1" applyBorder="1" applyAlignment="1">
      <alignment vertical="center"/>
    </xf>
    <xf numFmtId="0" fontId="5" fillId="0" borderId="0" xfId="0" applyFont="1" applyBorder="1"/>
    <xf numFmtId="4" fontId="0" fillId="0" borderId="0" xfId="0" applyNumberFormat="1" applyBorder="1"/>
    <xf numFmtId="0" fontId="0" fillId="0" borderId="0" xfId="0" applyFont="1" applyBorder="1"/>
    <xf numFmtId="0" fontId="5" fillId="0" borderId="0" xfId="0" applyFont="1" applyBorder="1" applyAlignment="1"/>
    <xf numFmtId="0" fontId="5" fillId="0" borderId="0" xfId="0" applyFont="1" applyFill="1" applyBorder="1" applyAlignment="1"/>
    <xf numFmtId="43" fontId="5" fillId="0" borderId="0" xfId="9" applyFont="1" applyBorder="1" applyAlignment="1"/>
    <xf numFmtId="43" fontId="5" fillId="0" borderId="0" xfId="0" applyNumberFormat="1" applyFont="1" applyBorder="1"/>
    <xf numFmtId="0" fontId="17" fillId="0" borderId="0" xfId="0" applyFont="1" applyAlignment="1">
      <alignment horizontal="center"/>
    </xf>
    <xf numFmtId="0" fontId="2" fillId="0" borderId="0" xfId="14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25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43" fontId="17" fillId="0" borderId="0" xfId="9" applyFont="1" applyAlignment="1">
      <alignment horizontal="center"/>
    </xf>
    <xf numFmtId="14" fontId="0" fillId="0" borderId="10" xfId="0" applyNumberFormat="1" applyBorder="1" applyAlignment="1">
      <alignment horizontal="left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4" fontId="20" fillId="2" borderId="10" xfId="9" applyNumberFormat="1" applyFont="1" applyFill="1" applyBorder="1" applyAlignment="1">
      <alignment horizontal="right"/>
    </xf>
    <xf numFmtId="14" fontId="27" fillId="2" borderId="10" xfId="0" applyNumberFormat="1" applyFont="1" applyFill="1" applyBorder="1" applyAlignment="1">
      <alignment horizontal="left"/>
    </xf>
    <xf numFmtId="0" fontId="27" fillId="2" borderId="10" xfId="0" applyFont="1" applyFill="1" applyBorder="1" applyAlignment="1">
      <alignment horizontal="center"/>
    </xf>
    <xf numFmtId="0" fontId="27" fillId="2" borderId="10" xfId="0" applyFont="1" applyFill="1" applyBorder="1"/>
    <xf numFmtId="43" fontId="27" fillId="2" borderId="10" xfId="9" applyFont="1" applyFill="1" applyBorder="1" applyAlignment="1">
      <alignment horizontal="center"/>
    </xf>
    <xf numFmtId="0" fontId="27" fillId="2" borderId="10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14" fontId="17" fillId="2" borderId="10" xfId="0" applyNumberFormat="1" applyFont="1" applyFill="1" applyBorder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8" fillId="2" borderId="10" xfId="0" applyFont="1" applyFill="1" applyBorder="1"/>
    <xf numFmtId="4" fontId="29" fillId="2" borderId="10" xfId="9" applyNumberFormat="1" applyFont="1" applyFill="1" applyBorder="1" applyAlignment="1">
      <alignment horizontal="right"/>
    </xf>
    <xf numFmtId="43" fontId="5" fillId="6" borderId="0" xfId="9" applyFont="1" applyFill="1" applyBorder="1" applyAlignment="1">
      <alignment wrapText="1"/>
    </xf>
    <xf numFmtId="43" fontId="5" fillId="6" borderId="0" xfId="9" applyFont="1" applyFill="1" applyBorder="1"/>
    <xf numFmtId="0" fontId="5" fillId="6" borderId="0" xfId="0" applyFont="1" applyFill="1" applyBorder="1" applyAlignment="1">
      <alignment wrapText="1"/>
    </xf>
    <xf numFmtId="0" fontId="0" fillId="6" borderId="0" xfId="0" applyFill="1" applyBorder="1"/>
    <xf numFmtId="14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43" fontId="26" fillId="0" borderId="10" xfId="9" applyFont="1" applyBorder="1" applyAlignment="1">
      <alignment horizontal="center" vertical="center"/>
    </xf>
    <xf numFmtId="0" fontId="0" fillId="0" borderId="0" xfId="0" applyBorder="1" applyAlignment="1"/>
    <xf numFmtId="0" fontId="24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14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11" fillId="0" borderId="0" xfId="14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9" fillId="0" borderId="0" xfId="14" applyFont="1" applyFill="1" applyBorder="1" applyAlignment="1">
      <alignment horizontal="center" vertical="center"/>
    </xf>
    <xf numFmtId="0" fontId="11" fillId="0" borderId="0" xfId="14" applyFont="1" applyFill="1" applyBorder="1" applyAlignment="1">
      <alignment horizontal="center" vertical="center"/>
    </xf>
  </cellXfs>
  <cellStyles count="15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4" xfId="14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5</xdr:col>
      <xdr:colOff>951230</xdr:colOff>
      <xdr:row>8</xdr:row>
      <xdr:rowOff>85725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4</xdr:row>
      <xdr:rowOff>57150</xdr:rowOff>
    </xdr:from>
    <xdr:to>
      <xdr:col>4</xdr:col>
      <xdr:colOff>514350</xdr:colOff>
      <xdr:row>9</xdr:row>
      <xdr:rowOff>152400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3724275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</xdr:colOff>
      <xdr:row>241</xdr:row>
      <xdr:rowOff>161925</xdr:rowOff>
    </xdr:from>
    <xdr:to>
      <xdr:col>3</xdr:col>
      <xdr:colOff>800101</xdr:colOff>
      <xdr:row>246</xdr:row>
      <xdr:rowOff>5789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48653700"/>
          <a:ext cx="1247776" cy="796364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248</xdr:row>
      <xdr:rowOff>47626</xdr:rowOff>
    </xdr:from>
    <xdr:to>
      <xdr:col>3</xdr:col>
      <xdr:colOff>790575</xdr:colOff>
      <xdr:row>255</xdr:row>
      <xdr:rowOff>9525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0" y="49872901"/>
          <a:ext cx="1333500" cy="1295399"/>
        </a:xfrm>
        <a:prstGeom prst="rect">
          <a:avLst/>
        </a:prstGeom>
      </xdr:spPr>
    </xdr:pic>
    <xdr:clientData/>
  </xdr:twoCellAnchor>
  <xdr:twoCellAnchor editAs="oneCell">
    <xdr:from>
      <xdr:col>5</xdr:col>
      <xdr:colOff>2219325</xdr:colOff>
      <xdr:row>6</xdr:row>
      <xdr:rowOff>19050</xdr:rowOff>
    </xdr:from>
    <xdr:to>
      <xdr:col>6</xdr:col>
      <xdr:colOff>419100</xdr:colOff>
      <xdr:row>8</xdr:row>
      <xdr:rowOff>170467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13239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379730</xdr:colOff>
      <xdr:row>7</xdr:row>
      <xdr:rowOff>85725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</xdr:colOff>
      <xdr:row>4</xdr:row>
      <xdr:rowOff>66675</xdr:rowOff>
    </xdr:from>
    <xdr:to>
      <xdr:col>4</xdr:col>
      <xdr:colOff>1066800</xdr:colOff>
      <xdr:row>7</xdr:row>
      <xdr:rowOff>113317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48</xdr:row>
      <xdr:rowOff>161925</xdr:rowOff>
    </xdr:from>
    <xdr:to>
      <xdr:col>1</xdr:col>
      <xdr:colOff>2409825</xdr:colOff>
      <xdr:row>50</xdr:row>
      <xdr:rowOff>133350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10575"/>
          <a:ext cx="1952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257174</xdr:colOff>
      <xdr:row>43</xdr:row>
      <xdr:rowOff>171449</xdr:rowOff>
    </xdr:from>
    <xdr:to>
      <xdr:col>1</xdr:col>
      <xdr:colOff>1538731</xdr:colOff>
      <xdr:row>48</xdr:row>
      <xdr:rowOff>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561974" y="7543799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1009650</xdr:colOff>
      <xdr:row>48</xdr:row>
      <xdr:rowOff>85725</xdr:rowOff>
    </xdr:from>
    <xdr:to>
      <xdr:col>5</xdr:col>
      <xdr:colOff>330200</xdr:colOff>
      <xdr:row>50</xdr:row>
      <xdr:rowOff>143459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8334375"/>
          <a:ext cx="1520825" cy="4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44</xdr:row>
      <xdr:rowOff>57150</xdr:rowOff>
    </xdr:from>
    <xdr:to>
      <xdr:col>4</xdr:col>
      <xdr:colOff>66675</xdr:colOff>
      <xdr:row>49</xdr:row>
      <xdr:rowOff>30805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7600950"/>
          <a:ext cx="1066800" cy="86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44</xdr:row>
      <xdr:rowOff>0</xdr:rowOff>
    </xdr:from>
    <xdr:to>
      <xdr:col>1</xdr:col>
      <xdr:colOff>1529208</xdr:colOff>
      <xdr:row>48</xdr:row>
      <xdr:rowOff>18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552451" y="7543800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4</xdr:row>
      <xdr:rowOff>142875</xdr:rowOff>
    </xdr:from>
    <xdr:to>
      <xdr:col>2</xdr:col>
      <xdr:colOff>3275330</xdr:colOff>
      <xdr:row>8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048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180975</xdr:colOff>
      <xdr:row>5</xdr:row>
      <xdr:rowOff>133350</xdr:rowOff>
    </xdr:from>
    <xdr:to>
      <xdr:col>6</xdr:col>
      <xdr:colOff>28575</xdr:colOff>
      <xdr:row>8</xdr:row>
      <xdr:rowOff>94267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0858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47</xdr:row>
      <xdr:rowOff>123825</xdr:rowOff>
    </xdr:from>
    <xdr:to>
      <xdr:col>4</xdr:col>
      <xdr:colOff>247650</xdr:colOff>
      <xdr:row>55</xdr:row>
      <xdr:rowOff>57150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" t="9071" r="4604" b="4195"/>
        <a:stretch/>
      </xdr:blipFill>
      <xdr:spPr bwMode="auto">
        <a:xfrm>
          <a:off x="1057275" y="9153525"/>
          <a:ext cx="4772025" cy="1457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104775</xdr:rowOff>
    </xdr:from>
    <xdr:to>
      <xdr:col>3</xdr:col>
      <xdr:colOff>255905</xdr:colOff>
      <xdr:row>7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762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1085850</xdr:colOff>
      <xdr:row>6</xdr:row>
      <xdr:rowOff>151417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62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1533525</xdr:colOff>
      <xdr:row>28</xdr:row>
      <xdr:rowOff>161926</xdr:rowOff>
    </xdr:from>
    <xdr:to>
      <xdr:col>2</xdr:col>
      <xdr:colOff>100457</xdr:colOff>
      <xdr:row>32</xdr:row>
      <xdr:rowOff>104794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1533525" y="5895976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28</xdr:row>
      <xdr:rowOff>114300</xdr:rowOff>
    </xdr:from>
    <xdr:to>
      <xdr:col>5</xdr:col>
      <xdr:colOff>762000</xdr:colOff>
      <xdr:row>33</xdr:row>
      <xdr:rowOff>30805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848350"/>
          <a:ext cx="1066800" cy="86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876300</xdr:colOff>
      <xdr:row>35</xdr:row>
      <xdr:rowOff>9525</xdr:rowOff>
    </xdr:from>
    <xdr:to>
      <xdr:col>2</xdr:col>
      <xdr:colOff>114300</xdr:colOff>
      <xdr:row>36</xdr:row>
      <xdr:rowOff>171450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077075"/>
          <a:ext cx="1952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34</xdr:row>
      <xdr:rowOff>95250</xdr:rowOff>
    </xdr:from>
    <xdr:to>
      <xdr:col>5</xdr:col>
      <xdr:colOff>949325</xdr:colOff>
      <xdr:row>36</xdr:row>
      <xdr:rowOff>152984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6972300"/>
          <a:ext cx="1520825" cy="4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1085850</xdr:colOff>
      <xdr:row>7</xdr:row>
      <xdr:rowOff>151417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52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123824</xdr:colOff>
      <xdr:row>34</xdr:row>
      <xdr:rowOff>9525</xdr:rowOff>
    </xdr:from>
    <xdr:to>
      <xdr:col>1</xdr:col>
      <xdr:colOff>1405381</xdr:colOff>
      <xdr:row>37</xdr:row>
      <xdr:rowOff>142893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800099" y="6505575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1152525</xdr:colOff>
      <xdr:row>34</xdr:row>
      <xdr:rowOff>19050</xdr:rowOff>
    </xdr:from>
    <xdr:to>
      <xdr:col>4</xdr:col>
      <xdr:colOff>914400</xdr:colOff>
      <xdr:row>38</xdr:row>
      <xdr:rowOff>126055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515100"/>
          <a:ext cx="1066800" cy="86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39</xdr:row>
      <xdr:rowOff>152400</xdr:rowOff>
    </xdr:from>
    <xdr:to>
      <xdr:col>1</xdr:col>
      <xdr:colOff>1695450</xdr:colOff>
      <xdr:row>41</xdr:row>
      <xdr:rowOff>123825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00950"/>
          <a:ext cx="1952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39</xdr:row>
      <xdr:rowOff>123825</xdr:rowOff>
    </xdr:from>
    <xdr:to>
      <xdr:col>4</xdr:col>
      <xdr:colOff>1187450</xdr:colOff>
      <xdr:row>41</xdr:row>
      <xdr:rowOff>181559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572375"/>
          <a:ext cx="1520825" cy="4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57150</xdr:rowOff>
    </xdr:from>
    <xdr:to>
      <xdr:col>1</xdr:col>
      <xdr:colOff>3742055</xdr:colOff>
      <xdr:row>6</xdr:row>
      <xdr:rowOff>142875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6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4324350</xdr:colOff>
      <xdr:row>4</xdr:row>
      <xdr:rowOff>104775</xdr:rowOff>
    </xdr:from>
    <xdr:to>
      <xdr:col>2</xdr:col>
      <xdr:colOff>1085850</xdr:colOff>
      <xdr:row>7</xdr:row>
      <xdr:rowOff>65692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8667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36</xdr:row>
      <xdr:rowOff>114300</xdr:rowOff>
    </xdr:from>
    <xdr:to>
      <xdr:col>1</xdr:col>
      <xdr:colOff>1938782</xdr:colOff>
      <xdr:row>40</xdr:row>
      <xdr:rowOff>57168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1247775" y="6972300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9525</xdr:rowOff>
    </xdr:from>
    <xdr:to>
      <xdr:col>2</xdr:col>
      <xdr:colOff>1162050</xdr:colOff>
      <xdr:row>40</xdr:row>
      <xdr:rowOff>116530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6867525"/>
          <a:ext cx="1066800" cy="86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1952625</xdr:colOff>
      <xdr:row>43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001000"/>
          <a:ext cx="1952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15875</xdr:colOff>
      <xdr:row>44</xdr:row>
      <xdr:rowOff>57734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8001000"/>
          <a:ext cx="1520825" cy="4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3</xdr:row>
      <xdr:rowOff>19050</xdr:rowOff>
    </xdr:from>
    <xdr:to>
      <xdr:col>5</xdr:col>
      <xdr:colOff>808355</xdr:colOff>
      <xdr:row>6</xdr:row>
      <xdr:rowOff>104775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905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9</xdr:col>
      <xdr:colOff>247650</xdr:colOff>
      <xdr:row>6</xdr:row>
      <xdr:rowOff>151417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762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36</xdr:row>
      <xdr:rowOff>152400</xdr:rowOff>
    </xdr:from>
    <xdr:to>
      <xdr:col>1</xdr:col>
      <xdr:colOff>2409825</xdr:colOff>
      <xdr:row>38</xdr:row>
      <xdr:rowOff>123825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600950"/>
          <a:ext cx="1952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971550</xdr:colOff>
      <xdr:row>36</xdr:row>
      <xdr:rowOff>66675</xdr:rowOff>
    </xdr:from>
    <xdr:to>
      <xdr:col>9</xdr:col>
      <xdr:colOff>511175</xdr:colOff>
      <xdr:row>38</xdr:row>
      <xdr:rowOff>124409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7515225"/>
          <a:ext cx="1520825" cy="4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838201</xdr:colOff>
      <xdr:row>32</xdr:row>
      <xdr:rowOff>19049</xdr:rowOff>
    </xdr:from>
    <xdr:to>
      <xdr:col>1</xdr:col>
      <xdr:colOff>2119758</xdr:colOff>
      <xdr:row>35</xdr:row>
      <xdr:rowOff>152417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6980">
          <a:off x="1276351" y="6705599"/>
          <a:ext cx="1281557" cy="70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31</xdr:row>
      <xdr:rowOff>66675</xdr:rowOff>
    </xdr:from>
    <xdr:to>
      <xdr:col>9</xdr:col>
      <xdr:colOff>247650</xdr:colOff>
      <xdr:row>35</xdr:row>
      <xdr:rowOff>173680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6562725"/>
          <a:ext cx="1066800" cy="86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SEPT-%202020%20(SRSM)%20oblig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er%20Domenech/Downloads/Copia%20de%20ESTADOS%20SEPT-%202020%20Docto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er%20Domenech/Downloads/CIERRE%202020/ESTADOS%20AGOSTO%202020%20(De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Hoja1"/>
      <sheetName val="P, P Y E"/>
      <sheetName val="NOTAS (2)"/>
      <sheetName val="EST. CAMBIO"/>
      <sheetName val="EST. FLUJO"/>
      <sheetName val="Notas E. F."/>
      <sheetName val="ESTADO DE REND."/>
      <sheetName val="EST. COMP."/>
    </sheetNames>
    <sheetDataSet>
      <sheetData sheetId="0" refreshError="1"/>
      <sheetData sheetId="1" refreshError="1"/>
      <sheetData sheetId="2" refreshError="1"/>
      <sheetData sheetId="3">
        <row r="141">
          <cell r="O141">
            <v>17235106.379999999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Hoja1"/>
      <sheetName val="P, P Y E"/>
      <sheetName val="NOTAS (2)"/>
      <sheetName val="EST. CAMBIO"/>
      <sheetName val="EST. FLUJO"/>
      <sheetName val="ESTADO DE REND."/>
      <sheetName val="Notas E. F."/>
      <sheetName val="EST. COMP."/>
    </sheetNames>
    <sheetDataSet>
      <sheetData sheetId="0"/>
      <sheetData sheetId="1"/>
      <sheetData sheetId="2"/>
      <sheetData sheetId="3">
        <row r="148">
          <cell r="N148">
            <v>15523431.199999999</v>
          </cell>
        </row>
        <row r="149">
          <cell r="N149">
            <v>0</v>
          </cell>
        </row>
        <row r="152">
          <cell r="N152">
            <v>0</v>
          </cell>
        </row>
        <row r="160">
          <cell r="N160">
            <v>15473199.52</v>
          </cell>
        </row>
        <row r="161">
          <cell r="N161">
            <v>50231.68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TAS (2)"/>
      <sheetName val="P, P Y E"/>
      <sheetName val="BALANCE GENERAL"/>
      <sheetName val="EST. CAMBIO"/>
      <sheetName val="ESTADO DE REND."/>
      <sheetName val="EST. FLUJO"/>
      <sheetName val="EST. COMP."/>
    </sheetNames>
    <sheetDataSet>
      <sheetData sheetId="0"/>
      <sheetData sheetId="1">
        <row r="135">
          <cell r="N135">
            <v>8943628.0600000005</v>
          </cell>
        </row>
        <row r="142">
          <cell r="N142">
            <v>17235106.379999999</v>
          </cell>
        </row>
        <row r="226">
          <cell r="N226">
            <v>14837557.657721698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O659"/>
  <sheetViews>
    <sheetView topLeftCell="A260" workbookViewId="0">
      <selection activeCell="F90" sqref="F90"/>
    </sheetView>
  </sheetViews>
  <sheetFormatPr baseColWidth="10" defaultRowHeight="15" x14ac:dyDescent="0.25"/>
  <cols>
    <col min="2" max="2" width="30.42578125" customWidth="1"/>
    <col min="4" max="4" width="16.7109375" bestFit="1" customWidth="1"/>
    <col min="5" max="5" width="15.140625" bestFit="1" customWidth="1"/>
    <col min="6" max="7" width="17.42578125" customWidth="1"/>
    <col min="8" max="8" width="15.140625" bestFit="1" customWidth="1"/>
    <col min="9" max="9" width="16.85546875" bestFit="1" customWidth="1"/>
    <col min="10" max="10" width="16.7109375" bestFit="1" customWidth="1"/>
    <col min="13" max="13" width="13.140625" bestFit="1" customWidth="1"/>
  </cols>
  <sheetData>
    <row r="12" spans="2:10" x14ac:dyDescent="0.25">
      <c r="B12" s="19" t="s">
        <v>277</v>
      </c>
    </row>
    <row r="14" spans="2:10" ht="15.75" x14ac:dyDescent="0.25">
      <c r="B14" s="184" t="s">
        <v>378</v>
      </c>
    </row>
    <row r="16" spans="2:10" ht="15.75" x14ac:dyDescent="0.25">
      <c r="B16" s="185" t="s">
        <v>384</v>
      </c>
      <c r="C16" s="185"/>
      <c r="D16" s="185"/>
      <c r="E16" s="185"/>
      <c r="F16" s="185"/>
      <c r="G16" s="185"/>
      <c r="H16" s="185"/>
      <c r="I16" s="185"/>
      <c r="J16" s="185"/>
    </row>
    <row r="17" spans="2:10" ht="15.75" x14ac:dyDescent="0.25">
      <c r="B17" s="185" t="s">
        <v>385</v>
      </c>
      <c r="C17" s="185"/>
      <c r="D17" s="185"/>
      <c r="E17" s="185"/>
      <c r="F17" s="185"/>
      <c r="G17" s="185"/>
      <c r="H17" s="185"/>
      <c r="I17" s="185"/>
      <c r="J17" s="185"/>
    </row>
    <row r="18" spans="2:10" ht="15.75" x14ac:dyDescent="0.25">
      <c r="B18" s="185" t="s">
        <v>386</v>
      </c>
      <c r="C18" s="185"/>
      <c r="D18" s="185"/>
      <c r="E18" s="185"/>
      <c r="F18" s="185"/>
      <c r="G18" s="185"/>
      <c r="H18" s="185"/>
      <c r="I18" s="185"/>
      <c r="J18" s="185"/>
    </row>
    <row r="19" spans="2:10" ht="15.75" x14ac:dyDescent="0.25">
      <c r="B19" s="185"/>
      <c r="C19" s="185"/>
      <c r="D19" s="185"/>
      <c r="E19" s="185"/>
      <c r="F19" s="185"/>
      <c r="G19" s="185"/>
      <c r="H19" s="185"/>
      <c r="I19" s="185"/>
      <c r="J19" s="185"/>
    </row>
    <row r="20" spans="2:10" ht="15.75" x14ac:dyDescent="0.25">
      <c r="B20" s="185" t="s">
        <v>387</v>
      </c>
      <c r="C20" s="185"/>
      <c r="D20" s="185"/>
      <c r="E20" s="185"/>
      <c r="F20" s="185"/>
      <c r="G20" s="185"/>
      <c r="H20" s="185"/>
      <c r="I20" s="185"/>
      <c r="J20" s="185"/>
    </row>
    <row r="21" spans="2:10" ht="15.75" x14ac:dyDescent="0.25">
      <c r="B21" s="185" t="s">
        <v>388</v>
      </c>
      <c r="C21" s="185"/>
      <c r="D21" s="185"/>
      <c r="E21" s="185"/>
      <c r="F21" s="185"/>
      <c r="G21" s="185"/>
      <c r="H21" s="185"/>
      <c r="I21" s="185"/>
      <c r="J21" s="185"/>
    </row>
    <row r="22" spans="2:10" ht="15.75" x14ac:dyDescent="0.25">
      <c r="B22" s="185" t="s">
        <v>389</v>
      </c>
      <c r="C22" s="185"/>
      <c r="D22" s="185"/>
      <c r="E22" s="185"/>
      <c r="F22" s="185"/>
      <c r="G22" s="185"/>
      <c r="H22" s="185"/>
      <c r="I22" s="185"/>
      <c r="J22" s="185"/>
    </row>
    <row r="23" spans="2:10" ht="15.75" x14ac:dyDescent="0.25">
      <c r="B23" s="185" t="s">
        <v>390</v>
      </c>
      <c r="C23" s="185"/>
      <c r="D23" s="185"/>
      <c r="E23" s="185"/>
      <c r="F23" s="185"/>
      <c r="G23" s="185"/>
      <c r="H23" s="185"/>
      <c r="I23" s="185"/>
      <c r="J23" s="185"/>
    </row>
    <row r="24" spans="2:10" ht="15.75" x14ac:dyDescent="0.25">
      <c r="B24" s="185"/>
      <c r="C24" s="185"/>
      <c r="D24" s="185"/>
      <c r="E24" s="185"/>
      <c r="F24" s="185"/>
      <c r="G24" s="185"/>
      <c r="H24" s="185"/>
      <c r="I24" s="185"/>
      <c r="J24" s="185"/>
    </row>
    <row r="25" spans="2:10" ht="15.75" x14ac:dyDescent="0.25">
      <c r="B25" s="185" t="s">
        <v>391</v>
      </c>
      <c r="C25" s="185"/>
      <c r="D25" s="185"/>
      <c r="E25" s="185"/>
      <c r="F25" s="185"/>
      <c r="G25" s="185"/>
      <c r="H25" s="185"/>
      <c r="I25" s="185"/>
      <c r="J25" s="185"/>
    </row>
    <row r="26" spans="2:10" ht="15.75" x14ac:dyDescent="0.25">
      <c r="B26" s="185" t="s">
        <v>392</v>
      </c>
      <c r="C26" s="185"/>
      <c r="D26" s="185"/>
      <c r="E26" s="185"/>
      <c r="F26" s="185"/>
      <c r="G26" s="185"/>
      <c r="H26" s="185"/>
      <c r="I26" s="185"/>
      <c r="J26" s="185"/>
    </row>
    <row r="27" spans="2:10" ht="15.75" x14ac:dyDescent="0.25">
      <c r="B27" s="185" t="s">
        <v>393</v>
      </c>
      <c r="C27" s="185"/>
      <c r="D27" s="185"/>
      <c r="E27" s="185"/>
      <c r="F27" s="185"/>
      <c r="G27" s="185"/>
      <c r="H27" s="185"/>
      <c r="I27" s="185"/>
      <c r="J27" s="185"/>
    </row>
    <row r="28" spans="2:10" ht="15.75" x14ac:dyDescent="0.25">
      <c r="B28" s="185"/>
      <c r="C28" s="185"/>
      <c r="D28" s="185"/>
      <c r="E28" s="185"/>
      <c r="F28" s="185"/>
      <c r="G28" s="185"/>
      <c r="H28" s="185"/>
      <c r="I28" s="185"/>
      <c r="J28" s="185"/>
    </row>
    <row r="29" spans="2:10" ht="15.75" x14ac:dyDescent="0.25">
      <c r="B29" s="185" t="s">
        <v>394</v>
      </c>
      <c r="C29" s="185"/>
      <c r="D29" s="185"/>
      <c r="E29" s="185"/>
      <c r="F29" s="185"/>
      <c r="G29" s="185"/>
      <c r="H29" s="185"/>
      <c r="I29" s="185"/>
      <c r="J29" s="185"/>
    </row>
    <row r="30" spans="2:10" ht="15.75" x14ac:dyDescent="0.25">
      <c r="B30" s="185" t="s">
        <v>395</v>
      </c>
      <c r="C30" s="185"/>
      <c r="D30" s="185"/>
      <c r="E30" s="185"/>
      <c r="F30" s="185"/>
      <c r="G30" s="185"/>
      <c r="H30" s="185"/>
      <c r="I30" s="185"/>
      <c r="J30" s="185"/>
    </row>
    <row r="31" spans="2:10" ht="15.75" x14ac:dyDescent="0.25">
      <c r="B31" s="185"/>
      <c r="C31" s="185"/>
      <c r="D31" s="185"/>
      <c r="E31" s="185"/>
      <c r="F31" s="185"/>
      <c r="G31" s="185"/>
      <c r="H31" s="185"/>
      <c r="I31" s="185"/>
      <c r="J31" s="185"/>
    </row>
    <row r="32" spans="2:10" ht="15.75" x14ac:dyDescent="0.25">
      <c r="B32" s="185" t="s">
        <v>396</v>
      </c>
      <c r="C32" s="185"/>
      <c r="D32" s="185"/>
      <c r="E32" s="185"/>
      <c r="F32" s="185"/>
      <c r="G32" s="185"/>
      <c r="H32" s="185"/>
      <c r="I32" s="185"/>
      <c r="J32" s="185"/>
    </row>
    <row r="33" spans="2:10" ht="15.75" x14ac:dyDescent="0.25">
      <c r="B33" s="185" t="s">
        <v>397</v>
      </c>
      <c r="C33" s="185"/>
      <c r="D33" s="185"/>
      <c r="E33" s="185"/>
      <c r="F33" s="185"/>
      <c r="G33" s="185"/>
      <c r="H33" s="185"/>
      <c r="I33" s="185"/>
      <c r="J33" s="185"/>
    </row>
    <row r="34" spans="2:10" ht="15.75" x14ac:dyDescent="0.25">
      <c r="B34" s="185" t="s">
        <v>398</v>
      </c>
      <c r="C34" s="185"/>
      <c r="D34" s="185"/>
      <c r="E34" s="185"/>
      <c r="F34" s="185"/>
      <c r="G34" s="185"/>
      <c r="H34" s="185"/>
      <c r="I34" s="185"/>
      <c r="J34" s="185"/>
    </row>
    <row r="35" spans="2:10" ht="15.75" x14ac:dyDescent="0.25">
      <c r="B35" s="185"/>
      <c r="C35" s="185"/>
      <c r="D35" s="185"/>
      <c r="E35" s="185"/>
      <c r="F35" s="185"/>
      <c r="G35" s="185"/>
      <c r="H35" s="185"/>
      <c r="I35" s="185"/>
      <c r="J35" s="185"/>
    </row>
    <row r="36" spans="2:10" ht="15.75" x14ac:dyDescent="0.25">
      <c r="B36" s="185" t="s">
        <v>399</v>
      </c>
      <c r="C36" s="185"/>
      <c r="D36" s="185"/>
      <c r="E36" s="185"/>
      <c r="F36" s="185"/>
      <c r="G36" s="185"/>
      <c r="H36" s="185"/>
      <c r="I36" s="185"/>
      <c r="J36" s="185"/>
    </row>
    <row r="37" spans="2:10" ht="15.75" x14ac:dyDescent="0.25">
      <c r="B37" s="185" t="s">
        <v>400</v>
      </c>
      <c r="C37" s="185"/>
      <c r="D37" s="185"/>
      <c r="E37" s="185"/>
      <c r="F37" s="185"/>
      <c r="G37" s="185"/>
      <c r="H37" s="185"/>
      <c r="I37" s="185"/>
      <c r="J37" s="185"/>
    </row>
    <row r="38" spans="2:10" ht="15.75" x14ac:dyDescent="0.25">
      <c r="B38" s="185"/>
      <c r="C38" s="185"/>
      <c r="D38" s="185"/>
      <c r="E38" s="185"/>
      <c r="F38" s="185"/>
      <c r="G38" s="185"/>
      <c r="H38" s="185"/>
      <c r="I38" s="185"/>
      <c r="J38" s="185"/>
    </row>
    <row r="39" spans="2:10" ht="15.75" x14ac:dyDescent="0.25">
      <c r="B39" s="185" t="s">
        <v>401</v>
      </c>
      <c r="C39" s="185"/>
      <c r="D39" s="185"/>
      <c r="E39" s="185"/>
      <c r="F39" s="185"/>
      <c r="G39" s="185"/>
      <c r="H39" s="185"/>
      <c r="I39" s="185"/>
      <c r="J39" s="185"/>
    </row>
    <row r="40" spans="2:10" ht="15.75" x14ac:dyDescent="0.25">
      <c r="B40" s="185" t="s">
        <v>402</v>
      </c>
      <c r="C40" s="185"/>
      <c r="D40" s="185"/>
      <c r="E40" s="185"/>
      <c r="F40" s="185"/>
      <c r="G40" s="185"/>
      <c r="H40" s="185"/>
      <c r="I40" s="185"/>
      <c r="J40" s="185"/>
    </row>
    <row r="41" spans="2:10" ht="15.75" x14ac:dyDescent="0.25">
      <c r="B41" s="185" t="s">
        <v>403</v>
      </c>
      <c r="C41" s="185"/>
      <c r="D41" s="185"/>
      <c r="E41" s="185"/>
      <c r="F41" s="185"/>
      <c r="G41" s="185"/>
      <c r="H41" s="185"/>
      <c r="I41" s="185"/>
      <c r="J41" s="185"/>
    </row>
    <row r="42" spans="2:10" ht="15.75" x14ac:dyDescent="0.25">
      <c r="B42" s="185"/>
      <c r="C42" s="185"/>
      <c r="D42" s="185"/>
      <c r="E42" s="185"/>
      <c r="F42" s="185"/>
      <c r="G42" s="185"/>
      <c r="H42" s="185"/>
      <c r="I42" s="185"/>
      <c r="J42" s="185"/>
    </row>
    <row r="43" spans="2:10" ht="15.75" x14ac:dyDescent="0.25">
      <c r="B43" s="185" t="s">
        <v>404</v>
      </c>
      <c r="C43" s="185"/>
      <c r="D43" s="185"/>
      <c r="E43" s="185"/>
      <c r="F43" s="185"/>
      <c r="G43" s="185"/>
      <c r="H43" s="185"/>
      <c r="I43" s="185"/>
      <c r="J43" s="185"/>
    </row>
    <row r="44" spans="2:10" ht="15.75" x14ac:dyDescent="0.25">
      <c r="B44" s="185"/>
      <c r="C44" s="185"/>
      <c r="D44" s="185"/>
      <c r="E44" s="185"/>
      <c r="F44" s="185"/>
      <c r="G44" s="185"/>
      <c r="H44" s="185"/>
      <c r="I44" s="185"/>
      <c r="J44" s="185"/>
    </row>
    <row r="45" spans="2:10" ht="15.75" x14ac:dyDescent="0.25">
      <c r="B45" s="185" t="s">
        <v>278</v>
      </c>
      <c r="C45" s="185"/>
      <c r="D45" s="185"/>
      <c r="E45" s="185"/>
      <c r="F45" s="185"/>
      <c r="G45" s="185"/>
      <c r="H45" s="185"/>
      <c r="I45" s="185"/>
      <c r="J45" s="185"/>
    </row>
    <row r="46" spans="2:10" ht="15.75" x14ac:dyDescent="0.25">
      <c r="B46" s="185"/>
      <c r="C46" s="185"/>
      <c r="D46" s="185"/>
      <c r="E46" s="185"/>
      <c r="F46" s="185"/>
      <c r="G46" s="185"/>
      <c r="H46" s="185"/>
      <c r="I46" s="185"/>
      <c r="J46" s="185"/>
    </row>
    <row r="47" spans="2:10" ht="15.75" x14ac:dyDescent="0.25">
      <c r="B47" s="185" t="s">
        <v>279</v>
      </c>
      <c r="C47" s="185"/>
      <c r="D47" s="185"/>
      <c r="E47" s="185"/>
      <c r="F47" s="185"/>
      <c r="G47" s="185"/>
      <c r="H47" s="185"/>
      <c r="I47" s="185"/>
      <c r="J47" s="185"/>
    </row>
    <row r="48" spans="2:10" ht="15.75" x14ac:dyDescent="0.25">
      <c r="B48" s="185" t="s">
        <v>280</v>
      </c>
      <c r="C48" s="185"/>
      <c r="D48" s="185"/>
      <c r="E48" s="185"/>
      <c r="F48" s="185"/>
      <c r="G48" s="185"/>
      <c r="H48" s="185"/>
      <c r="I48" s="185"/>
      <c r="J48" s="185"/>
    </row>
    <row r="49" spans="2:10" ht="15.75" x14ac:dyDescent="0.25">
      <c r="B49" s="185"/>
      <c r="C49" s="185"/>
      <c r="D49" s="185"/>
      <c r="E49" s="185"/>
      <c r="F49" s="185"/>
      <c r="G49" s="185"/>
      <c r="H49" s="185"/>
      <c r="I49" s="185"/>
      <c r="J49" s="185"/>
    </row>
    <row r="50" spans="2:10" ht="15.75" x14ac:dyDescent="0.25">
      <c r="B50" s="185"/>
      <c r="C50" s="185"/>
      <c r="D50" s="185"/>
      <c r="E50" s="185"/>
      <c r="F50" s="185"/>
      <c r="G50" s="185"/>
      <c r="H50" s="185"/>
      <c r="I50" s="185"/>
      <c r="J50" s="185"/>
    </row>
    <row r="51" spans="2:10" ht="15.75" x14ac:dyDescent="0.25">
      <c r="B51" s="184" t="s">
        <v>281</v>
      </c>
      <c r="C51" s="185"/>
      <c r="D51" s="185"/>
      <c r="E51" s="185"/>
      <c r="F51" s="185"/>
      <c r="G51" s="185"/>
      <c r="H51" s="185"/>
      <c r="I51" s="185"/>
      <c r="J51" s="185"/>
    </row>
    <row r="52" spans="2:10" ht="15.75" x14ac:dyDescent="0.25">
      <c r="B52" s="185"/>
      <c r="C52" s="185"/>
      <c r="D52" s="185"/>
      <c r="E52" s="185"/>
      <c r="F52" s="185"/>
      <c r="G52" s="185"/>
      <c r="H52" s="185"/>
      <c r="I52" s="185"/>
      <c r="J52" s="185"/>
    </row>
    <row r="53" spans="2:10" ht="15.75" x14ac:dyDescent="0.25">
      <c r="B53" s="185" t="s">
        <v>282</v>
      </c>
      <c r="C53" s="185"/>
      <c r="D53" s="185"/>
      <c r="E53" s="185"/>
      <c r="F53" s="185"/>
      <c r="G53" s="185"/>
      <c r="H53" s="185"/>
      <c r="I53" s="185"/>
      <c r="J53" s="185"/>
    </row>
    <row r="54" spans="2:10" ht="15.75" x14ac:dyDescent="0.25">
      <c r="B54" s="185"/>
      <c r="C54" s="185"/>
      <c r="D54" s="185"/>
      <c r="E54" s="185"/>
      <c r="F54" s="185"/>
      <c r="G54" s="185"/>
      <c r="H54" s="185"/>
      <c r="I54" s="185"/>
      <c r="J54" s="185"/>
    </row>
    <row r="55" spans="2:10" ht="15.75" x14ac:dyDescent="0.25">
      <c r="B55" s="185" t="s">
        <v>405</v>
      </c>
      <c r="C55" s="185"/>
      <c r="D55" s="185"/>
      <c r="E55" s="185"/>
      <c r="F55" s="185"/>
      <c r="G55" s="185"/>
      <c r="H55" s="185"/>
      <c r="I55" s="185"/>
      <c r="J55" s="185"/>
    </row>
    <row r="56" spans="2:10" ht="15.75" x14ac:dyDescent="0.25">
      <c r="B56" s="185" t="s">
        <v>283</v>
      </c>
      <c r="C56" s="185"/>
      <c r="D56" s="185"/>
      <c r="E56" s="185"/>
      <c r="F56" s="185"/>
      <c r="G56" s="185"/>
      <c r="H56" s="185"/>
      <c r="I56" s="185"/>
      <c r="J56" s="185"/>
    </row>
    <row r="57" spans="2:10" ht="15.75" x14ac:dyDescent="0.25">
      <c r="B57" s="185"/>
      <c r="C57" s="185"/>
      <c r="D57" s="185"/>
      <c r="E57" s="185"/>
      <c r="F57" s="185"/>
      <c r="G57" s="185"/>
      <c r="H57" s="185"/>
      <c r="I57" s="185"/>
      <c r="J57" s="185"/>
    </row>
    <row r="58" spans="2:10" ht="15.75" x14ac:dyDescent="0.25">
      <c r="B58" s="185" t="s">
        <v>284</v>
      </c>
      <c r="C58" s="185"/>
      <c r="D58" s="185"/>
      <c r="E58" s="185"/>
      <c r="F58" s="185"/>
      <c r="G58" s="185"/>
      <c r="H58" s="185"/>
      <c r="I58" s="185"/>
      <c r="J58" s="185"/>
    </row>
    <row r="59" spans="2:10" ht="15.75" x14ac:dyDescent="0.25">
      <c r="B59" s="185"/>
      <c r="C59" s="185"/>
      <c r="D59" s="185"/>
      <c r="E59" s="185"/>
      <c r="F59" s="185"/>
      <c r="G59" s="185"/>
      <c r="H59" s="185"/>
      <c r="I59" s="185"/>
      <c r="J59" s="185"/>
    </row>
    <row r="60" spans="2:10" ht="15.75" x14ac:dyDescent="0.25">
      <c r="B60" s="184" t="s">
        <v>285</v>
      </c>
      <c r="C60" s="185"/>
      <c r="D60" s="185"/>
      <c r="E60" s="185"/>
      <c r="F60" s="185"/>
      <c r="G60" s="185"/>
      <c r="H60" s="185"/>
      <c r="I60" s="185"/>
      <c r="J60" s="185"/>
    </row>
    <row r="61" spans="2:10" ht="15.75" x14ac:dyDescent="0.25">
      <c r="B61" s="185"/>
      <c r="C61" s="185"/>
      <c r="D61" s="185"/>
      <c r="E61" s="185"/>
      <c r="F61" s="185"/>
      <c r="G61" s="185"/>
      <c r="H61" s="185"/>
      <c r="I61" s="185"/>
      <c r="J61" s="185"/>
    </row>
    <row r="62" spans="2:10" ht="15.75" x14ac:dyDescent="0.25">
      <c r="B62" s="185" t="s">
        <v>406</v>
      </c>
      <c r="C62" s="185"/>
      <c r="D62" s="185"/>
      <c r="E62" s="185"/>
      <c r="F62" s="185"/>
      <c r="G62" s="185"/>
      <c r="H62" s="185"/>
      <c r="I62" s="185"/>
      <c r="J62" s="185"/>
    </row>
    <row r="63" spans="2:10" ht="15.75" x14ac:dyDescent="0.25">
      <c r="B63" s="185" t="s">
        <v>407</v>
      </c>
      <c r="C63" s="185"/>
      <c r="D63" s="185"/>
      <c r="E63" s="185"/>
      <c r="F63" s="185"/>
      <c r="G63" s="185"/>
      <c r="H63" s="185"/>
      <c r="I63" s="185"/>
      <c r="J63" s="185"/>
    </row>
    <row r="64" spans="2:10" ht="15.75" x14ac:dyDescent="0.25">
      <c r="B64" s="185" t="s">
        <v>235</v>
      </c>
      <c r="C64" s="185"/>
      <c r="D64" s="185"/>
      <c r="E64" s="185"/>
      <c r="F64" s="185"/>
      <c r="G64" s="185"/>
      <c r="H64" s="185"/>
      <c r="I64" s="185"/>
      <c r="J64" s="185"/>
    </row>
    <row r="65" spans="2:10" ht="15.75" x14ac:dyDescent="0.25">
      <c r="B65" s="185" t="s">
        <v>408</v>
      </c>
      <c r="C65" s="185"/>
      <c r="D65" s="185"/>
      <c r="E65" s="185"/>
      <c r="F65" s="185"/>
      <c r="G65" s="185"/>
      <c r="H65" s="185"/>
      <c r="I65" s="185"/>
      <c r="J65" s="185"/>
    </row>
    <row r="66" spans="2:10" ht="15.75" x14ac:dyDescent="0.25">
      <c r="B66" s="185"/>
      <c r="C66" s="185"/>
      <c r="D66" s="185"/>
      <c r="E66" s="185"/>
      <c r="F66" s="185"/>
      <c r="G66" s="185"/>
      <c r="H66" s="185"/>
      <c r="I66" s="185"/>
      <c r="J66" s="185"/>
    </row>
    <row r="67" spans="2:10" ht="15.75" x14ac:dyDescent="0.25">
      <c r="B67" s="185" t="s">
        <v>286</v>
      </c>
      <c r="C67" s="185"/>
      <c r="D67" s="185"/>
      <c r="E67" s="185"/>
      <c r="F67" s="185"/>
      <c r="G67" s="185"/>
      <c r="H67" s="185"/>
      <c r="I67" s="185"/>
      <c r="J67" s="185"/>
    </row>
    <row r="68" spans="2:10" ht="15.75" x14ac:dyDescent="0.25">
      <c r="B68" s="185"/>
      <c r="C68" s="185"/>
      <c r="D68" s="185"/>
      <c r="E68" s="185"/>
      <c r="F68" s="185"/>
      <c r="G68" s="185"/>
      <c r="H68" s="185"/>
      <c r="I68" s="185"/>
      <c r="J68" s="185"/>
    </row>
    <row r="69" spans="2:10" ht="15.75" x14ac:dyDescent="0.25">
      <c r="B69" s="185" t="s">
        <v>287</v>
      </c>
      <c r="C69" s="185"/>
      <c r="D69" s="185"/>
      <c r="E69" s="185"/>
      <c r="F69" s="185"/>
      <c r="G69" s="185"/>
      <c r="H69" s="185"/>
      <c r="I69" s="185"/>
      <c r="J69" s="185"/>
    </row>
    <row r="70" spans="2:10" ht="15.75" x14ac:dyDescent="0.25">
      <c r="B70" s="185"/>
      <c r="C70" s="185"/>
      <c r="D70" s="185"/>
      <c r="E70" s="185"/>
      <c r="F70" s="185"/>
      <c r="G70" s="185"/>
      <c r="H70" s="185"/>
      <c r="I70" s="185"/>
      <c r="J70" s="185"/>
    </row>
    <row r="71" spans="2:10" ht="15.75" x14ac:dyDescent="0.25">
      <c r="B71" s="185" t="s">
        <v>288</v>
      </c>
      <c r="C71" s="185"/>
      <c r="D71" s="185"/>
      <c r="E71" s="185"/>
      <c r="F71" s="185"/>
      <c r="G71" s="185"/>
      <c r="H71" s="185"/>
      <c r="I71" s="185"/>
      <c r="J71" s="185"/>
    </row>
    <row r="72" spans="2:10" ht="15.75" x14ac:dyDescent="0.25">
      <c r="B72" s="185"/>
      <c r="C72" s="185"/>
      <c r="D72" s="185"/>
      <c r="E72" s="185"/>
      <c r="F72" s="185"/>
      <c r="G72" s="185"/>
      <c r="H72" s="185"/>
      <c r="I72" s="185"/>
      <c r="J72" s="185"/>
    </row>
    <row r="73" spans="2:10" ht="15.75" x14ac:dyDescent="0.25">
      <c r="B73" s="185" t="s">
        <v>409</v>
      </c>
      <c r="C73" s="185"/>
      <c r="D73" s="185"/>
      <c r="E73" s="185"/>
      <c r="F73" s="185"/>
      <c r="G73" s="185"/>
      <c r="H73" s="185"/>
      <c r="I73" s="185"/>
      <c r="J73" s="185"/>
    </row>
    <row r="74" spans="2:10" ht="15.75" x14ac:dyDescent="0.25">
      <c r="B74" s="185" t="s">
        <v>410</v>
      </c>
      <c r="C74" s="185"/>
      <c r="D74" s="185"/>
      <c r="E74" s="185"/>
      <c r="F74" s="185"/>
      <c r="G74" s="185"/>
      <c r="H74" s="185"/>
      <c r="I74" s="185"/>
      <c r="J74" s="185"/>
    </row>
    <row r="75" spans="2:10" ht="15.75" x14ac:dyDescent="0.25">
      <c r="B75" s="185"/>
      <c r="C75" s="185"/>
      <c r="D75" s="185"/>
      <c r="E75" s="185"/>
      <c r="F75" s="185"/>
      <c r="G75" s="185"/>
      <c r="H75" s="185"/>
      <c r="I75" s="185"/>
      <c r="J75" s="185"/>
    </row>
    <row r="76" spans="2:10" ht="15.75" x14ac:dyDescent="0.25">
      <c r="B76" s="185" t="s">
        <v>289</v>
      </c>
      <c r="C76" s="185"/>
      <c r="D76" s="185"/>
      <c r="E76" s="185"/>
      <c r="F76" s="185"/>
      <c r="G76" s="185"/>
      <c r="H76" s="185"/>
      <c r="I76" s="185"/>
      <c r="J76" s="185"/>
    </row>
    <row r="77" spans="2:10" ht="15.75" x14ac:dyDescent="0.25">
      <c r="B77" s="185"/>
      <c r="C77" s="185"/>
      <c r="D77" s="185"/>
      <c r="E77" s="185"/>
      <c r="F77" s="185"/>
      <c r="G77" s="185"/>
      <c r="H77" s="185"/>
      <c r="I77" s="185"/>
      <c r="J77" s="185"/>
    </row>
    <row r="78" spans="2:10" ht="15.75" x14ac:dyDescent="0.25">
      <c r="B78" s="185" t="s">
        <v>290</v>
      </c>
      <c r="C78" s="185"/>
      <c r="D78" s="185"/>
      <c r="E78" s="185"/>
      <c r="F78" s="185"/>
      <c r="G78" s="185"/>
      <c r="H78" s="185"/>
      <c r="I78" s="185"/>
      <c r="J78" s="185"/>
    </row>
    <row r="79" spans="2:10" ht="15.75" x14ac:dyDescent="0.25">
      <c r="B79" s="185" t="s">
        <v>411</v>
      </c>
      <c r="C79" s="185"/>
      <c r="D79" s="185"/>
      <c r="E79" s="185"/>
      <c r="F79" s="185"/>
      <c r="G79" s="185"/>
      <c r="H79" s="185"/>
      <c r="I79" s="185"/>
      <c r="J79" s="185"/>
    </row>
    <row r="80" spans="2:10" ht="15.75" x14ac:dyDescent="0.25">
      <c r="B80" s="185" t="s">
        <v>412</v>
      </c>
      <c r="C80" s="185"/>
      <c r="D80" s="185"/>
      <c r="E80" s="185"/>
      <c r="F80" s="185"/>
      <c r="G80" s="185"/>
      <c r="H80" s="185"/>
      <c r="I80" s="185"/>
      <c r="J80" s="185"/>
    </row>
    <row r="81" spans="2:10" ht="15.75" x14ac:dyDescent="0.25">
      <c r="B81" s="185"/>
      <c r="C81" s="185"/>
      <c r="D81" s="185"/>
      <c r="E81" s="185"/>
      <c r="F81" s="185"/>
      <c r="G81" s="185"/>
      <c r="H81" s="185"/>
      <c r="I81" s="185"/>
      <c r="J81" s="185"/>
    </row>
    <row r="82" spans="2:10" ht="15.75" x14ac:dyDescent="0.25">
      <c r="B82" s="185" t="s">
        <v>413</v>
      </c>
      <c r="C82" s="185"/>
      <c r="D82" s="185"/>
      <c r="E82" s="185"/>
      <c r="F82" s="185"/>
      <c r="G82" s="185"/>
      <c r="H82" s="185"/>
      <c r="I82" s="185"/>
      <c r="J82" s="185"/>
    </row>
    <row r="83" spans="2:10" ht="15.75" x14ac:dyDescent="0.25">
      <c r="B83" s="185" t="s">
        <v>291</v>
      </c>
      <c r="C83" s="185"/>
      <c r="D83" s="185"/>
      <c r="E83" s="185"/>
      <c r="F83" s="185"/>
      <c r="G83" s="185"/>
      <c r="H83" s="185"/>
      <c r="I83" s="185"/>
      <c r="J83" s="185"/>
    </row>
    <row r="84" spans="2:10" ht="15.75" x14ac:dyDescent="0.25">
      <c r="B84" s="185"/>
      <c r="C84" s="185"/>
      <c r="D84" s="185"/>
      <c r="E84" s="185"/>
      <c r="F84" s="185"/>
      <c r="G84" s="185"/>
      <c r="H84" s="185"/>
      <c r="I84" s="185"/>
      <c r="J84" s="185"/>
    </row>
    <row r="85" spans="2:10" ht="15.75" x14ac:dyDescent="0.25">
      <c r="B85" s="185" t="s">
        <v>292</v>
      </c>
      <c r="C85" s="185"/>
      <c r="D85" s="185"/>
      <c r="E85" s="185"/>
      <c r="F85" s="185"/>
      <c r="G85" s="185"/>
      <c r="H85" s="185"/>
      <c r="I85" s="185"/>
      <c r="J85" s="185"/>
    </row>
    <row r="86" spans="2:10" ht="15.75" x14ac:dyDescent="0.25">
      <c r="B86" s="185"/>
      <c r="C86" s="185"/>
      <c r="D86" s="185"/>
      <c r="E86" s="185"/>
      <c r="F86" s="185"/>
      <c r="G86" s="185"/>
      <c r="H86" s="185"/>
      <c r="I86" s="185"/>
      <c r="J86" s="185"/>
    </row>
    <row r="87" spans="2:10" ht="15.75" x14ac:dyDescent="0.25">
      <c r="B87" s="185" t="s">
        <v>293</v>
      </c>
      <c r="C87" s="185"/>
      <c r="D87" s="185"/>
      <c r="E87" s="185"/>
      <c r="F87" s="185" t="s">
        <v>185</v>
      </c>
      <c r="G87" s="185"/>
      <c r="H87" s="185"/>
      <c r="I87" s="185"/>
      <c r="J87" s="185"/>
    </row>
    <row r="88" spans="2:10" ht="15.75" x14ac:dyDescent="0.25">
      <c r="B88" s="185" t="s">
        <v>294</v>
      </c>
      <c r="C88" s="185"/>
      <c r="D88" s="185"/>
      <c r="E88" s="185"/>
      <c r="F88" s="185" t="s">
        <v>295</v>
      </c>
      <c r="G88" s="185"/>
      <c r="H88" s="185"/>
      <c r="I88" s="185"/>
      <c r="J88" s="185"/>
    </row>
    <row r="89" spans="2:10" ht="15.75" x14ac:dyDescent="0.25">
      <c r="B89" s="185" t="s">
        <v>659</v>
      </c>
      <c r="C89" s="185"/>
      <c r="D89" s="185"/>
      <c r="E89" s="185"/>
      <c r="F89" s="185" t="s">
        <v>649</v>
      </c>
      <c r="G89" s="185"/>
      <c r="H89" s="185"/>
      <c r="I89" s="185"/>
      <c r="J89" s="185"/>
    </row>
    <row r="90" spans="2:10" ht="15.75" x14ac:dyDescent="0.25">
      <c r="B90" s="185"/>
      <c r="C90" s="185"/>
      <c r="D90" s="185"/>
      <c r="E90" s="185"/>
      <c r="F90" s="185"/>
      <c r="G90" s="185"/>
      <c r="H90" s="185"/>
      <c r="I90" s="185"/>
      <c r="J90" s="185"/>
    </row>
    <row r="91" spans="2:10" ht="15.75" x14ac:dyDescent="0.25">
      <c r="B91" s="185"/>
      <c r="C91" s="185"/>
      <c r="D91" s="185"/>
      <c r="E91" s="185"/>
      <c r="F91" s="185"/>
      <c r="G91" s="185"/>
      <c r="H91" s="185"/>
      <c r="I91" s="185"/>
      <c r="J91" s="185"/>
    </row>
    <row r="92" spans="2:10" ht="15.75" x14ac:dyDescent="0.25">
      <c r="B92" s="184" t="s">
        <v>296</v>
      </c>
      <c r="C92" s="185"/>
      <c r="D92" s="185"/>
      <c r="E92" s="185"/>
      <c r="F92" s="185"/>
      <c r="G92" s="185"/>
      <c r="H92" s="185"/>
      <c r="I92" s="185"/>
      <c r="J92" s="185"/>
    </row>
    <row r="93" spans="2:10" ht="15.75" x14ac:dyDescent="0.25">
      <c r="B93" s="185"/>
      <c r="C93" s="185"/>
      <c r="D93" s="185"/>
      <c r="E93" s="185"/>
      <c r="F93" s="185"/>
      <c r="G93" s="185"/>
      <c r="H93" s="185"/>
      <c r="I93" s="185"/>
      <c r="J93" s="185"/>
    </row>
    <row r="94" spans="2:10" ht="15.75" x14ac:dyDescent="0.25">
      <c r="B94" s="185" t="s">
        <v>297</v>
      </c>
      <c r="C94" s="185"/>
      <c r="D94" s="185"/>
      <c r="E94" s="185"/>
      <c r="F94" s="185"/>
      <c r="G94" s="185"/>
      <c r="H94" s="185"/>
      <c r="I94" s="185"/>
      <c r="J94" s="185"/>
    </row>
    <row r="95" spans="2:10" ht="15.75" x14ac:dyDescent="0.25">
      <c r="B95" s="185" t="s">
        <v>298</v>
      </c>
      <c r="C95" s="185"/>
      <c r="D95" s="185"/>
      <c r="E95" s="185"/>
      <c r="F95" s="185"/>
      <c r="G95" s="185"/>
      <c r="H95" s="185"/>
      <c r="I95" s="185"/>
      <c r="J95" s="185"/>
    </row>
    <row r="96" spans="2:10" ht="15.75" x14ac:dyDescent="0.25">
      <c r="B96" s="185"/>
      <c r="C96" s="185"/>
      <c r="D96" s="185"/>
      <c r="E96" s="185"/>
      <c r="F96" s="185"/>
      <c r="G96" s="185"/>
      <c r="H96" s="185"/>
      <c r="I96" s="185"/>
      <c r="J96" s="185"/>
    </row>
    <row r="97" spans="2:10" ht="15.75" x14ac:dyDescent="0.25">
      <c r="B97" s="185" t="s">
        <v>299</v>
      </c>
      <c r="C97" s="185"/>
      <c r="D97" s="185"/>
      <c r="E97" s="185"/>
      <c r="F97" s="185"/>
      <c r="G97" s="185"/>
      <c r="H97" s="185"/>
      <c r="I97" s="185"/>
      <c r="J97" s="185"/>
    </row>
    <row r="98" spans="2:10" ht="15.75" x14ac:dyDescent="0.25">
      <c r="B98" s="185" t="s">
        <v>414</v>
      </c>
      <c r="C98" s="185"/>
      <c r="D98" s="185"/>
      <c r="E98" s="185"/>
      <c r="F98" s="185"/>
      <c r="G98" s="185"/>
      <c r="H98" s="185"/>
      <c r="I98" s="185"/>
      <c r="J98" s="185"/>
    </row>
    <row r="99" spans="2:10" ht="15.75" x14ac:dyDescent="0.25">
      <c r="B99" s="185" t="s">
        <v>300</v>
      </c>
      <c r="C99" s="185"/>
      <c r="D99" s="185"/>
      <c r="E99" s="185"/>
      <c r="F99" s="185"/>
      <c r="G99" s="185"/>
      <c r="H99" s="185"/>
      <c r="I99" s="185"/>
      <c r="J99" s="185"/>
    </row>
    <row r="100" spans="2:10" ht="15.75" x14ac:dyDescent="0.25">
      <c r="B100" s="185"/>
      <c r="C100" s="185"/>
      <c r="D100" s="185"/>
      <c r="E100" s="185"/>
      <c r="F100" s="185"/>
      <c r="G100" s="185"/>
      <c r="H100" s="185"/>
      <c r="I100" s="185"/>
      <c r="J100" s="185"/>
    </row>
    <row r="101" spans="2:10" ht="15.75" x14ac:dyDescent="0.25">
      <c r="B101" s="185" t="s">
        <v>301</v>
      </c>
      <c r="C101" s="185"/>
      <c r="D101" s="185"/>
      <c r="E101" s="185"/>
      <c r="F101" s="185"/>
      <c r="G101" s="185"/>
      <c r="H101" s="185"/>
      <c r="I101" s="185"/>
      <c r="J101" s="185"/>
    </row>
    <row r="102" spans="2:10" ht="15.75" x14ac:dyDescent="0.25">
      <c r="B102" s="185" t="s">
        <v>415</v>
      </c>
      <c r="C102" s="185"/>
      <c r="D102" s="185"/>
      <c r="E102" s="185"/>
      <c r="F102" s="185"/>
      <c r="G102" s="185"/>
      <c r="H102" s="185"/>
      <c r="I102" s="185"/>
      <c r="J102" s="185"/>
    </row>
    <row r="103" spans="2:10" ht="15.75" x14ac:dyDescent="0.25">
      <c r="B103" s="185" t="s">
        <v>416</v>
      </c>
      <c r="C103" s="185"/>
      <c r="D103" s="185"/>
      <c r="E103" s="185"/>
      <c r="F103" s="185"/>
      <c r="G103" s="185"/>
      <c r="H103" s="185"/>
      <c r="I103" s="185"/>
      <c r="J103" s="185"/>
    </row>
    <row r="104" spans="2:10" ht="15.75" x14ac:dyDescent="0.25">
      <c r="B104" s="185"/>
      <c r="C104" s="185"/>
      <c r="D104" s="185"/>
      <c r="E104" s="185"/>
      <c r="F104" s="185"/>
      <c r="G104" s="185"/>
      <c r="H104" s="185"/>
      <c r="I104" s="185"/>
      <c r="J104" s="185"/>
    </row>
    <row r="105" spans="2:10" ht="15.75" x14ac:dyDescent="0.25">
      <c r="B105" s="185" t="s">
        <v>302</v>
      </c>
      <c r="C105" s="185"/>
      <c r="D105" s="185"/>
      <c r="E105" s="185"/>
      <c r="F105" s="185"/>
      <c r="G105" s="185"/>
      <c r="H105" s="185"/>
      <c r="I105" s="185"/>
      <c r="J105" s="185"/>
    </row>
    <row r="106" spans="2:10" ht="15.75" x14ac:dyDescent="0.25">
      <c r="B106" s="185"/>
      <c r="C106" s="185"/>
      <c r="D106" s="185"/>
      <c r="E106" s="185"/>
      <c r="F106" s="185"/>
      <c r="G106" s="185"/>
      <c r="H106" s="185"/>
      <c r="I106" s="185"/>
      <c r="J106" s="185"/>
    </row>
    <row r="107" spans="2:10" ht="15.75" x14ac:dyDescent="0.25">
      <c r="B107" s="185"/>
      <c r="C107" s="185"/>
      <c r="D107" s="185"/>
      <c r="E107" s="185"/>
      <c r="F107" s="185"/>
      <c r="G107" s="185"/>
      <c r="H107" s="185"/>
      <c r="I107" s="185"/>
      <c r="J107" s="185"/>
    </row>
    <row r="108" spans="2:10" ht="15.75" x14ac:dyDescent="0.25">
      <c r="B108" s="184" t="s">
        <v>303</v>
      </c>
      <c r="C108" s="185"/>
      <c r="D108" s="185"/>
      <c r="E108" s="185"/>
      <c r="F108" s="185"/>
      <c r="G108" s="185"/>
      <c r="H108" s="185"/>
      <c r="I108" s="185"/>
      <c r="J108" s="185"/>
    </row>
    <row r="109" spans="2:10" ht="15.75" x14ac:dyDescent="0.25">
      <c r="B109" s="185"/>
      <c r="C109" s="185"/>
      <c r="D109" s="185"/>
      <c r="E109" s="185"/>
      <c r="F109" s="185"/>
      <c r="G109" s="185"/>
      <c r="H109" s="185"/>
      <c r="I109" s="185"/>
      <c r="J109" s="185"/>
    </row>
    <row r="110" spans="2:10" ht="15.75" x14ac:dyDescent="0.25">
      <c r="B110" s="185" t="s">
        <v>304</v>
      </c>
      <c r="C110" s="185"/>
      <c r="D110" s="185"/>
      <c r="E110" s="185"/>
      <c r="F110" s="185"/>
      <c r="G110" s="185"/>
      <c r="H110" s="185"/>
      <c r="I110" s="185"/>
      <c r="J110" s="185"/>
    </row>
    <row r="111" spans="2:10" ht="15.75" x14ac:dyDescent="0.25">
      <c r="B111" s="185"/>
      <c r="C111" s="185"/>
      <c r="D111" s="185"/>
      <c r="E111" s="185"/>
      <c r="F111" s="185"/>
      <c r="G111" s="185"/>
      <c r="H111" s="185"/>
      <c r="I111" s="185"/>
      <c r="J111" s="185"/>
    </row>
    <row r="112" spans="2:10" ht="15.75" x14ac:dyDescent="0.25">
      <c r="B112" s="184" t="s">
        <v>305</v>
      </c>
      <c r="C112" s="185"/>
      <c r="D112" s="185"/>
      <c r="E112" s="185"/>
      <c r="F112" s="185"/>
      <c r="G112" s="185"/>
      <c r="H112" s="185"/>
      <c r="I112" s="185"/>
      <c r="J112" s="185"/>
    </row>
    <row r="113" spans="2:10" ht="15.75" x14ac:dyDescent="0.25">
      <c r="B113" s="185"/>
      <c r="C113" s="185"/>
      <c r="D113" s="185"/>
      <c r="E113" s="185"/>
      <c r="F113" s="185"/>
      <c r="G113" s="185"/>
      <c r="H113" s="185"/>
      <c r="I113" s="185"/>
      <c r="J113" s="185"/>
    </row>
    <row r="114" spans="2:10" ht="15.75" x14ac:dyDescent="0.25">
      <c r="B114" s="185" t="s">
        <v>418</v>
      </c>
      <c r="C114" s="185"/>
      <c r="D114" s="185"/>
      <c r="E114" s="185"/>
      <c r="F114" s="185"/>
      <c r="G114" s="185"/>
      <c r="H114" s="185"/>
      <c r="I114" s="185"/>
      <c r="J114" s="185"/>
    </row>
    <row r="115" spans="2:10" ht="15.75" x14ac:dyDescent="0.25">
      <c r="B115" s="185" t="s">
        <v>419</v>
      </c>
      <c r="C115" s="185"/>
      <c r="D115" s="185"/>
      <c r="E115" s="185"/>
      <c r="F115" s="185"/>
      <c r="G115" s="185"/>
      <c r="H115" s="185"/>
      <c r="I115" s="185"/>
      <c r="J115" s="185"/>
    </row>
    <row r="116" spans="2:10" ht="15.75" x14ac:dyDescent="0.25">
      <c r="B116" s="185" t="s">
        <v>417</v>
      </c>
      <c r="C116" s="185"/>
      <c r="D116" s="185"/>
      <c r="E116" s="185"/>
      <c r="F116" s="185"/>
      <c r="G116" s="185"/>
      <c r="H116" s="185"/>
      <c r="I116" s="185"/>
      <c r="J116" s="185"/>
    </row>
    <row r="117" spans="2:10" ht="15.75" x14ac:dyDescent="0.25">
      <c r="B117" s="185"/>
      <c r="C117" s="185"/>
      <c r="D117" s="185"/>
      <c r="E117" s="185"/>
      <c r="F117" s="185"/>
      <c r="G117" s="185"/>
      <c r="H117" s="185"/>
      <c r="I117" s="185"/>
      <c r="J117" s="185"/>
    </row>
    <row r="118" spans="2:10" ht="15.75" x14ac:dyDescent="0.25">
      <c r="B118" s="185" t="s">
        <v>306</v>
      </c>
      <c r="C118" s="185"/>
      <c r="D118" s="185"/>
      <c r="E118" s="185"/>
      <c r="F118" s="185"/>
      <c r="G118" s="185"/>
      <c r="H118" s="185"/>
      <c r="I118" s="185"/>
      <c r="J118" s="185"/>
    </row>
    <row r="119" spans="2:10" ht="15.75" x14ac:dyDescent="0.25">
      <c r="B119" s="185"/>
      <c r="C119" s="185"/>
      <c r="D119" s="185"/>
      <c r="E119" s="185"/>
      <c r="F119" s="185"/>
      <c r="G119" s="185"/>
      <c r="H119" s="185"/>
      <c r="I119" s="185"/>
      <c r="J119" s="185"/>
    </row>
    <row r="120" spans="2:10" ht="15.75" x14ac:dyDescent="0.25">
      <c r="B120" s="184" t="s">
        <v>307</v>
      </c>
      <c r="C120" s="185"/>
      <c r="D120" s="185"/>
      <c r="E120" s="185"/>
      <c r="F120" s="185"/>
      <c r="G120" s="185"/>
      <c r="H120" s="185"/>
      <c r="I120" s="185"/>
      <c r="J120" s="185"/>
    </row>
    <row r="121" spans="2:10" ht="15.75" x14ac:dyDescent="0.25">
      <c r="B121" s="185"/>
      <c r="C121" s="185"/>
      <c r="D121" s="185"/>
      <c r="E121" s="185"/>
      <c r="F121" s="185"/>
      <c r="G121" s="185"/>
      <c r="H121" s="185"/>
      <c r="I121" s="185"/>
      <c r="J121" s="185"/>
    </row>
    <row r="122" spans="2:10" ht="15.75" x14ac:dyDescent="0.25">
      <c r="B122" s="185" t="s">
        <v>422</v>
      </c>
      <c r="C122" s="185"/>
      <c r="D122" s="185"/>
      <c r="E122" s="185"/>
      <c r="F122" s="185"/>
      <c r="G122" s="185"/>
      <c r="H122" s="185"/>
      <c r="I122" s="185"/>
      <c r="J122" s="185"/>
    </row>
    <row r="123" spans="2:10" ht="15.75" x14ac:dyDescent="0.25">
      <c r="B123" s="185" t="s">
        <v>421</v>
      </c>
      <c r="C123" s="185"/>
      <c r="D123" s="185"/>
      <c r="E123" s="185"/>
      <c r="F123" s="185"/>
      <c r="G123" s="185"/>
      <c r="H123" s="185"/>
      <c r="I123" s="185"/>
      <c r="J123" s="185"/>
    </row>
    <row r="124" spans="2:10" ht="15.75" x14ac:dyDescent="0.25">
      <c r="B124" s="185" t="s">
        <v>420</v>
      </c>
      <c r="C124" s="185"/>
      <c r="D124" s="185"/>
      <c r="E124" s="185"/>
      <c r="F124" s="185"/>
      <c r="G124" s="185"/>
      <c r="H124" s="185"/>
      <c r="I124" s="185"/>
      <c r="J124" s="185"/>
    </row>
    <row r="125" spans="2:10" ht="15.75" x14ac:dyDescent="0.25">
      <c r="B125" s="185"/>
      <c r="C125" s="185"/>
      <c r="D125" s="185"/>
      <c r="E125" s="185"/>
      <c r="F125" s="185"/>
      <c r="G125" s="185"/>
      <c r="H125" s="185"/>
      <c r="I125" s="185"/>
      <c r="J125" s="185"/>
    </row>
    <row r="126" spans="2:10" ht="15.75" x14ac:dyDescent="0.25">
      <c r="B126" s="184" t="s">
        <v>308</v>
      </c>
      <c r="C126" s="185"/>
      <c r="D126" s="185"/>
      <c r="E126" s="185"/>
      <c r="F126" s="185"/>
      <c r="G126" s="185"/>
      <c r="H126" s="185"/>
      <c r="I126" s="185"/>
      <c r="J126" s="185"/>
    </row>
    <row r="127" spans="2:10" ht="15.75" x14ac:dyDescent="0.25">
      <c r="B127" s="185"/>
      <c r="C127" s="185"/>
      <c r="D127" s="185"/>
      <c r="E127" s="185"/>
      <c r="F127" s="185"/>
      <c r="G127" s="185"/>
      <c r="H127" s="185"/>
      <c r="I127" s="185"/>
      <c r="J127" s="185"/>
    </row>
    <row r="128" spans="2:10" ht="15.75" x14ac:dyDescent="0.25">
      <c r="B128" s="185" t="s">
        <v>423</v>
      </c>
      <c r="C128" s="185"/>
      <c r="D128" s="185"/>
      <c r="E128" s="185"/>
      <c r="F128" s="185"/>
      <c r="G128" s="185"/>
      <c r="H128" s="185"/>
      <c r="I128" s="185"/>
      <c r="J128" s="185"/>
    </row>
    <row r="129" spans="2:10" ht="15.75" x14ac:dyDescent="0.25">
      <c r="B129" s="185" t="s">
        <v>426</v>
      </c>
      <c r="C129" s="185"/>
      <c r="D129" s="185"/>
      <c r="E129" s="185"/>
      <c r="F129" s="185"/>
      <c r="G129" s="185"/>
      <c r="H129" s="185"/>
      <c r="I129" s="185"/>
      <c r="J129" s="185"/>
    </row>
    <row r="130" spans="2:10" ht="15.75" x14ac:dyDescent="0.25">
      <c r="B130" s="185" t="s">
        <v>425</v>
      </c>
      <c r="C130" s="185"/>
      <c r="D130" s="185"/>
      <c r="E130" s="185"/>
      <c r="F130" s="185"/>
      <c r="G130" s="185"/>
      <c r="H130" s="185"/>
      <c r="I130" s="185"/>
      <c r="J130" s="185"/>
    </row>
    <row r="131" spans="2:10" ht="15.75" x14ac:dyDescent="0.25">
      <c r="B131" s="185" t="s">
        <v>424</v>
      </c>
      <c r="C131" s="185"/>
      <c r="D131" s="185"/>
      <c r="E131" s="185"/>
      <c r="F131" s="185"/>
      <c r="G131" s="185"/>
      <c r="H131" s="185"/>
      <c r="I131" s="185"/>
      <c r="J131" s="185"/>
    </row>
    <row r="132" spans="2:10" ht="15.75" x14ac:dyDescent="0.25">
      <c r="B132" s="185"/>
      <c r="C132" s="185"/>
      <c r="D132" s="185"/>
      <c r="E132" s="185"/>
      <c r="F132" s="185"/>
      <c r="G132" s="185"/>
      <c r="H132" s="185"/>
      <c r="I132" s="185"/>
      <c r="J132" s="185"/>
    </row>
    <row r="133" spans="2:10" ht="15.75" x14ac:dyDescent="0.25">
      <c r="B133" s="184" t="s">
        <v>309</v>
      </c>
      <c r="C133" s="185"/>
      <c r="D133" s="185"/>
      <c r="E133" s="185"/>
      <c r="F133" s="185"/>
      <c r="G133" s="185"/>
      <c r="H133" s="185"/>
      <c r="I133" s="185"/>
      <c r="J133" s="185"/>
    </row>
    <row r="134" spans="2:10" ht="15.75" x14ac:dyDescent="0.25">
      <c r="B134" s="185"/>
      <c r="C134" s="185"/>
      <c r="D134" s="185"/>
      <c r="E134" s="185"/>
      <c r="F134" s="185"/>
      <c r="G134" s="185"/>
      <c r="H134" s="185"/>
      <c r="I134" s="185"/>
      <c r="J134" s="185"/>
    </row>
    <row r="135" spans="2:10" ht="15.75" x14ac:dyDescent="0.25">
      <c r="B135" s="185" t="s">
        <v>428</v>
      </c>
      <c r="C135" s="185"/>
      <c r="D135" s="185"/>
      <c r="E135" s="185"/>
      <c r="F135" s="185"/>
      <c r="G135" s="185"/>
      <c r="H135" s="185"/>
      <c r="I135" s="185"/>
      <c r="J135" s="185"/>
    </row>
    <row r="136" spans="2:10" ht="15.75" x14ac:dyDescent="0.25">
      <c r="B136" s="185" t="s">
        <v>427</v>
      </c>
      <c r="C136" s="185"/>
      <c r="D136" s="185"/>
      <c r="E136" s="185"/>
      <c r="F136" s="185"/>
      <c r="G136" s="185"/>
      <c r="H136" s="185"/>
      <c r="I136" s="185"/>
      <c r="J136" s="185"/>
    </row>
    <row r="137" spans="2:10" ht="15.75" x14ac:dyDescent="0.25">
      <c r="B137" s="185"/>
      <c r="C137" s="185"/>
      <c r="D137" s="185"/>
      <c r="E137" s="185"/>
      <c r="F137" s="185"/>
      <c r="G137" s="185"/>
      <c r="H137" s="185"/>
      <c r="I137" s="185"/>
      <c r="J137" s="185"/>
    </row>
    <row r="138" spans="2:10" ht="15.75" x14ac:dyDescent="0.25">
      <c r="B138" s="185" t="s">
        <v>430</v>
      </c>
      <c r="C138" s="185"/>
      <c r="D138" s="185"/>
      <c r="E138" s="185"/>
      <c r="F138" s="185"/>
      <c r="G138" s="185"/>
      <c r="H138" s="185"/>
      <c r="I138" s="185"/>
      <c r="J138" s="185"/>
    </row>
    <row r="139" spans="2:10" ht="15.75" x14ac:dyDescent="0.25">
      <c r="B139" s="185" t="s">
        <v>429</v>
      </c>
      <c r="C139" s="185"/>
      <c r="D139" s="185"/>
      <c r="E139" s="185"/>
      <c r="F139" s="185"/>
      <c r="G139" s="185"/>
      <c r="H139" s="185"/>
      <c r="I139" s="185"/>
      <c r="J139" s="185"/>
    </row>
    <row r="140" spans="2:10" ht="15.75" x14ac:dyDescent="0.25">
      <c r="B140" s="185"/>
      <c r="C140" s="185"/>
      <c r="D140" s="185"/>
      <c r="E140" s="185"/>
      <c r="F140" s="185"/>
      <c r="G140" s="185"/>
      <c r="H140" s="185"/>
      <c r="I140" s="185"/>
      <c r="J140" s="185"/>
    </row>
    <row r="141" spans="2:10" ht="15.75" x14ac:dyDescent="0.25">
      <c r="B141" s="185" t="s">
        <v>432</v>
      </c>
      <c r="C141" s="185"/>
      <c r="D141" s="185"/>
      <c r="E141" s="185"/>
      <c r="F141" s="185"/>
      <c r="G141" s="185"/>
      <c r="H141" s="185"/>
      <c r="I141" s="185"/>
      <c r="J141" s="185"/>
    </row>
    <row r="142" spans="2:10" ht="15.75" x14ac:dyDescent="0.25">
      <c r="B142" s="185" t="s">
        <v>431</v>
      </c>
      <c r="C142" s="185"/>
      <c r="D142" s="185"/>
      <c r="E142" s="185"/>
      <c r="F142" s="185"/>
      <c r="G142" s="185"/>
      <c r="H142" s="185"/>
      <c r="I142" s="185"/>
      <c r="J142" s="185"/>
    </row>
    <row r="143" spans="2:10" ht="15.75" x14ac:dyDescent="0.25">
      <c r="B143" s="185"/>
      <c r="C143" s="185"/>
      <c r="D143" s="185"/>
      <c r="E143" s="185"/>
      <c r="F143" s="185"/>
      <c r="G143" s="185"/>
      <c r="H143" s="185"/>
      <c r="I143" s="185"/>
      <c r="J143" s="185"/>
    </row>
    <row r="144" spans="2:10" ht="15.75" x14ac:dyDescent="0.25">
      <c r="B144" s="185" t="s">
        <v>310</v>
      </c>
      <c r="C144" s="185"/>
      <c r="D144" s="185"/>
      <c r="E144" s="185"/>
      <c r="F144" s="185"/>
      <c r="G144" s="185"/>
      <c r="H144" s="185"/>
      <c r="I144" s="185"/>
      <c r="J144" s="185"/>
    </row>
    <row r="145" spans="2:10" ht="15.75" x14ac:dyDescent="0.25">
      <c r="B145" s="185"/>
      <c r="C145" s="185"/>
      <c r="D145" s="185"/>
      <c r="E145" s="185"/>
      <c r="F145" s="185"/>
      <c r="G145" s="185"/>
      <c r="H145" s="185"/>
      <c r="I145" s="185"/>
      <c r="J145" s="185"/>
    </row>
    <row r="146" spans="2:10" ht="15.75" x14ac:dyDescent="0.25">
      <c r="B146" s="185" t="s">
        <v>311</v>
      </c>
      <c r="C146" s="185"/>
      <c r="D146" s="185"/>
      <c r="E146" s="185"/>
      <c r="F146" s="185"/>
      <c r="G146" s="185"/>
      <c r="H146" s="185"/>
      <c r="I146" s="185"/>
      <c r="J146" s="185"/>
    </row>
    <row r="147" spans="2:10" ht="15.75" x14ac:dyDescent="0.25">
      <c r="B147" s="185"/>
      <c r="C147" s="185"/>
      <c r="D147" s="185"/>
      <c r="E147" s="185"/>
      <c r="F147" s="185"/>
      <c r="G147" s="185"/>
      <c r="H147" s="185"/>
      <c r="I147" s="185"/>
      <c r="J147" s="185"/>
    </row>
    <row r="148" spans="2:10" ht="15.75" x14ac:dyDescent="0.25">
      <c r="B148" s="185" t="s">
        <v>434</v>
      </c>
      <c r="C148" s="185"/>
      <c r="D148" s="185"/>
      <c r="E148" s="185"/>
      <c r="F148" s="185"/>
      <c r="G148" s="185"/>
      <c r="H148" s="185"/>
      <c r="I148" s="185"/>
      <c r="J148" s="185"/>
    </row>
    <row r="149" spans="2:10" ht="15.75" x14ac:dyDescent="0.25">
      <c r="B149" s="185" t="s">
        <v>433</v>
      </c>
      <c r="C149" s="185"/>
      <c r="D149" s="185"/>
      <c r="E149" s="185"/>
      <c r="F149" s="185"/>
      <c r="G149" s="185"/>
      <c r="H149" s="185"/>
      <c r="I149" s="185"/>
      <c r="J149" s="185"/>
    </row>
    <row r="150" spans="2:10" ht="15.75" x14ac:dyDescent="0.25">
      <c r="B150" s="185"/>
      <c r="C150" s="185"/>
      <c r="D150" s="185"/>
      <c r="E150" s="185"/>
      <c r="F150" s="185"/>
      <c r="G150" s="185"/>
      <c r="H150" s="185"/>
      <c r="I150" s="185"/>
      <c r="J150" s="185"/>
    </row>
    <row r="151" spans="2:10" ht="15.75" x14ac:dyDescent="0.25">
      <c r="B151" s="185" t="s">
        <v>312</v>
      </c>
      <c r="C151" s="185"/>
      <c r="D151" s="185"/>
      <c r="E151" s="185"/>
      <c r="F151" s="185"/>
      <c r="G151" s="185"/>
      <c r="H151" s="185"/>
      <c r="I151" s="185"/>
      <c r="J151" s="185"/>
    </row>
    <row r="152" spans="2:10" ht="15.75" x14ac:dyDescent="0.25">
      <c r="B152" s="185"/>
      <c r="C152" s="185"/>
      <c r="D152" s="185"/>
      <c r="E152" s="185"/>
      <c r="F152" s="185"/>
      <c r="G152" s="185"/>
      <c r="H152" s="185"/>
      <c r="I152" s="185"/>
      <c r="J152" s="185"/>
    </row>
    <row r="153" spans="2:10" ht="15.75" x14ac:dyDescent="0.25">
      <c r="B153" s="185" t="s">
        <v>436</v>
      </c>
      <c r="C153" s="185"/>
      <c r="D153" s="185"/>
      <c r="E153" s="185"/>
      <c r="F153" s="185"/>
      <c r="G153" s="185"/>
      <c r="H153" s="185"/>
      <c r="I153" s="185"/>
      <c r="J153" s="185"/>
    </row>
    <row r="154" spans="2:10" ht="15.75" x14ac:dyDescent="0.25">
      <c r="B154" s="185" t="s">
        <v>437</v>
      </c>
      <c r="C154" s="185"/>
      <c r="D154" s="185"/>
      <c r="E154" s="185"/>
      <c r="F154" s="185"/>
      <c r="G154" s="185"/>
      <c r="H154" s="185"/>
      <c r="I154" s="185"/>
      <c r="J154" s="185"/>
    </row>
    <row r="155" spans="2:10" ht="15.75" x14ac:dyDescent="0.25">
      <c r="B155" s="185" t="s">
        <v>435</v>
      </c>
      <c r="C155" s="185"/>
      <c r="D155" s="185"/>
      <c r="E155" s="185"/>
      <c r="F155" s="185"/>
      <c r="G155" s="185"/>
      <c r="H155" s="185"/>
      <c r="I155" s="185"/>
      <c r="J155" s="185"/>
    </row>
    <row r="156" spans="2:10" ht="15.75" x14ac:dyDescent="0.25">
      <c r="B156" s="185"/>
      <c r="C156" s="185"/>
      <c r="D156" s="185"/>
      <c r="E156" s="185"/>
      <c r="F156" s="185"/>
      <c r="G156" s="185"/>
      <c r="H156" s="185"/>
      <c r="I156" s="185"/>
      <c r="J156" s="185"/>
    </row>
    <row r="157" spans="2:10" ht="15.75" x14ac:dyDescent="0.25">
      <c r="B157" s="185" t="s">
        <v>439</v>
      </c>
      <c r="C157" s="185"/>
      <c r="D157" s="185"/>
      <c r="E157" s="185"/>
      <c r="F157" s="185"/>
      <c r="G157" s="185"/>
      <c r="H157" s="185"/>
      <c r="I157" s="185"/>
      <c r="J157" s="185"/>
    </row>
    <row r="158" spans="2:10" ht="15.75" x14ac:dyDescent="0.25">
      <c r="B158" s="185" t="s">
        <v>438</v>
      </c>
      <c r="C158" s="185"/>
      <c r="D158" s="185"/>
      <c r="E158" s="185"/>
      <c r="F158" s="185"/>
      <c r="G158" s="185"/>
      <c r="H158" s="185"/>
      <c r="I158" s="185"/>
      <c r="J158" s="185"/>
    </row>
    <row r="159" spans="2:10" ht="15.75" x14ac:dyDescent="0.25">
      <c r="B159" s="185"/>
      <c r="C159" s="185"/>
      <c r="D159" s="185"/>
      <c r="E159" s="185"/>
      <c r="F159" s="185"/>
      <c r="G159" s="185"/>
      <c r="H159" s="185"/>
      <c r="I159" s="185"/>
      <c r="J159" s="185"/>
    </row>
    <row r="160" spans="2:10" ht="15.75" x14ac:dyDescent="0.25">
      <c r="B160" s="185"/>
      <c r="C160" s="185"/>
      <c r="D160" s="185"/>
      <c r="E160" s="185"/>
      <c r="F160" s="185"/>
      <c r="G160" s="185"/>
      <c r="H160" s="185"/>
      <c r="I160" s="185"/>
      <c r="J160" s="185"/>
    </row>
    <row r="161" spans="2:10" ht="15.75" x14ac:dyDescent="0.25">
      <c r="B161" s="184" t="s">
        <v>313</v>
      </c>
      <c r="C161" s="185"/>
      <c r="D161" s="185"/>
      <c r="E161" s="185"/>
      <c r="F161" s="185"/>
      <c r="G161" s="185"/>
      <c r="H161" s="185"/>
      <c r="I161" s="185"/>
      <c r="J161" s="185"/>
    </row>
    <row r="162" spans="2:10" ht="15.75" x14ac:dyDescent="0.25">
      <c r="B162" s="185"/>
      <c r="C162" s="185"/>
      <c r="D162" s="185"/>
      <c r="E162" s="185"/>
      <c r="F162" s="185"/>
      <c r="G162" s="185"/>
      <c r="H162" s="185"/>
      <c r="I162" s="185"/>
      <c r="J162" s="185"/>
    </row>
    <row r="163" spans="2:10" ht="15.75" x14ac:dyDescent="0.25">
      <c r="B163" s="185" t="s">
        <v>441</v>
      </c>
      <c r="C163" s="185"/>
      <c r="D163" s="185"/>
      <c r="E163" s="185"/>
      <c r="F163" s="185"/>
      <c r="G163" s="185"/>
      <c r="H163" s="185"/>
      <c r="I163" s="185"/>
      <c r="J163" s="185"/>
    </row>
    <row r="164" spans="2:10" ht="15.75" x14ac:dyDescent="0.25">
      <c r="B164" s="185" t="s">
        <v>440</v>
      </c>
      <c r="C164" s="185"/>
      <c r="D164" s="185"/>
      <c r="E164" s="185"/>
      <c r="F164" s="185"/>
      <c r="G164" s="185"/>
      <c r="H164" s="185"/>
      <c r="I164" s="185"/>
      <c r="J164" s="185"/>
    </row>
    <row r="165" spans="2:10" ht="15.75" x14ac:dyDescent="0.25">
      <c r="B165" s="185"/>
      <c r="C165" s="185"/>
      <c r="D165" s="185"/>
      <c r="E165" s="185"/>
      <c r="F165" s="185"/>
      <c r="G165" s="185"/>
      <c r="H165" s="185"/>
      <c r="I165" s="185"/>
      <c r="J165" s="185"/>
    </row>
    <row r="166" spans="2:10" ht="15.75" x14ac:dyDescent="0.25">
      <c r="B166" s="185"/>
      <c r="C166" s="185"/>
      <c r="D166" s="185"/>
      <c r="E166" s="185"/>
      <c r="F166" s="185"/>
      <c r="G166" s="185"/>
      <c r="H166" s="185"/>
      <c r="I166" s="185"/>
      <c r="J166" s="185"/>
    </row>
    <row r="167" spans="2:10" ht="15.75" x14ac:dyDescent="0.25">
      <c r="B167" s="184" t="s">
        <v>314</v>
      </c>
      <c r="C167" s="185"/>
      <c r="D167" s="185"/>
      <c r="E167" s="185"/>
      <c r="F167" s="185"/>
      <c r="G167" s="185"/>
      <c r="H167" s="185"/>
      <c r="I167" s="185"/>
      <c r="J167" s="185"/>
    </row>
    <row r="168" spans="2:10" ht="15.75" x14ac:dyDescent="0.25">
      <c r="B168" s="185"/>
      <c r="C168" s="185"/>
      <c r="D168" s="185"/>
      <c r="E168" s="185"/>
      <c r="F168" s="185"/>
      <c r="G168" s="185"/>
      <c r="H168" s="185"/>
      <c r="I168" s="185"/>
      <c r="J168" s="185"/>
    </row>
    <row r="169" spans="2:10" ht="15.75" x14ac:dyDescent="0.25">
      <c r="B169" s="185" t="s">
        <v>443</v>
      </c>
      <c r="C169" s="185"/>
      <c r="D169" s="185"/>
      <c r="E169" s="185"/>
      <c r="F169" s="185"/>
      <c r="G169" s="185"/>
      <c r="H169" s="185"/>
      <c r="I169" s="185"/>
      <c r="J169" s="185"/>
    </row>
    <row r="170" spans="2:10" ht="15.75" x14ac:dyDescent="0.25">
      <c r="B170" s="185" t="s">
        <v>442</v>
      </c>
      <c r="C170" s="185"/>
      <c r="D170" s="185"/>
      <c r="E170" s="185"/>
      <c r="F170" s="185"/>
      <c r="G170" s="185"/>
      <c r="H170" s="185"/>
      <c r="I170" s="185"/>
      <c r="J170" s="185"/>
    </row>
    <row r="171" spans="2:10" ht="15.75" x14ac:dyDescent="0.25">
      <c r="B171" s="185"/>
      <c r="C171" s="185"/>
      <c r="D171" s="185"/>
      <c r="E171" s="185"/>
      <c r="F171" s="185"/>
      <c r="G171" s="185"/>
      <c r="H171" s="185"/>
      <c r="I171" s="185"/>
      <c r="J171" s="185"/>
    </row>
    <row r="172" spans="2:10" ht="15.75" x14ac:dyDescent="0.25">
      <c r="B172" s="184" t="s">
        <v>235</v>
      </c>
      <c r="C172" s="185"/>
      <c r="D172" s="185"/>
      <c r="E172" s="185"/>
      <c r="F172" s="185"/>
      <c r="G172" s="185"/>
      <c r="H172" s="185"/>
      <c r="I172" s="185"/>
      <c r="J172" s="185"/>
    </row>
    <row r="173" spans="2:10" ht="15.75" x14ac:dyDescent="0.25">
      <c r="B173" s="184" t="s">
        <v>315</v>
      </c>
      <c r="C173" s="185"/>
      <c r="D173" s="185"/>
      <c r="E173" s="185"/>
      <c r="F173" s="185"/>
      <c r="G173" s="185"/>
      <c r="H173" s="185"/>
      <c r="I173" s="185"/>
      <c r="J173" s="185"/>
    </row>
    <row r="174" spans="2:10" ht="15.75" x14ac:dyDescent="0.25">
      <c r="B174" s="185"/>
      <c r="C174" s="185"/>
      <c r="D174" s="185"/>
      <c r="E174" s="185"/>
      <c r="F174" s="185"/>
      <c r="G174" s="185"/>
      <c r="H174" s="185"/>
      <c r="I174" s="185"/>
      <c r="J174" s="185"/>
    </row>
    <row r="175" spans="2:10" ht="15.75" x14ac:dyDescent="0.25">
      <c r="B175" s="185" t="s">
        <v>444</v>
      </c>
      <c r="C175" s="185"/>
      <c r="D175" s="185"/>
      <c r="E175" s="185"/>
      <c r="F175" s="185"/>
      <c r="G175" s="185"/>
      <c r="H175" s="185"/>
      <c r="I175" s="185"/>
      <c r="J175" s="185"/>
    </row>
    <row r="176" spans="2:10" ht="15.75" x14ac:dyDescent="0.25">
      <c r="B176" s="185" t="s">
        <v>446</v>
      </c>
      <c r="C176" s="185"/>
      <c r="D176" s="185"/>
      <c r="E176" s="185"/>
      <c r="F176" s="185"/>
      <c r="G176" s="185"/>
      <c r="H176" s="185"/>
      <c r="I176" s="185"/>
      <c r="J176" s="185"/>
    </row>
    <row r="177" spans="2:10" ht="15.75" x14ac:dyDescent="0.25">
      <c r="B177" s="185" t="s">
        <v>445</v>
      </c>
      <c r="C177" s="185"/>
      <c r="D177" s="185"/>
      <c r="E177" s="185"/>
      <c r="F177" s="185"/>
      <c r="G177" s="185"/>
      <c r="H177" s="185"/>
      <c r="I177" s="185"/>
      <c r="J177" s="185"/>
    </row>
    <row r="178" spans="2:10" ht="15.75" x14ac:dyDescent="0.25">
      <c r="B178" s="185"/>
      <c r="C178" s="185"/>
      <c r="D178" s="185"/>
      <c r="E178" s="185"/>
      <c r="F178" s="185"/>
      <c r="G178" s="185"/>
      <c r="H178" s="185"/>
      <c r="I178" s="185"/>
      <c r="J178" s="185"/>
    </row>
    <row r="179" spans="2:10" ht="15.75" x14ac:dyDescent="0.25">
      <c r="B179" s="184" t="s">
        <v>316</v>
      </c>
      <c r="C179" s="185"/>
      <c r="D179" s="185"/>
      <c r="E179" s="185"/>
      <c r="F179" s="185"/>
      <c r="G179" s="185"/>
      <c r="H179" s="185"/>
      <c r="I179" s="185"/>
      <c r="J179" s="185"/>
    </row>
    <row r="180" spans="2:10" ht="15.75" x14ac:dyDescent="0.25">
      <c r="B180" s="185"/>
      <c r="C180" s="185"/>
      <c r="D180" s="185"/>
      <c r="E180" s="185"/>
      <c r="F180" s="185"/>
      <c r="G180" s="185"/>
      <c r="H180" s="185"/>
      <c r="I180" s="185"/>
      <c r="J180" s="185"/>
    </row>
    <row r="181" spans="2:10" ht="15.75" x14ac:dyDescent="0.25">
      <c r="B181" s="185" t="s">
        <v>565</v>
      </c>
      <c r="C181" s="185"/>
      <c r="D181" s="185"/>
      <c r="E181" s="185"/>
      <c r="F181" s="185"/>
      <c r="G181" s="185"/>
      <c r="H181" s="185"/>
      <c r="I181" s="185"/>
      <c r="J181" s="185"/>
    </row>
    <row r="182" spans="2:10" ht="15.75" x14ac:dyDescent="0.25">
      <c r="B182" s="185" t="s">
        <v>447</v>
      </c>
      <c r="C182" s="185"/>
      <c r="D182" s="185"/>
      <c r="E182" s="185"/>
      <c r="F182" s="185"/>
      <c r="G182" s="185"/>
      <c r="H182" s="185"/>
      <c r="I182" s="185"/>
      <c r="J182" s="185"/>
    </row>
    <row r="183" spans="2:10" ht="15.75" x14ac:dyDescent="0.25">
      <c r="B183" s="185"/>
      <c r="C183" s="185"/>
      <c r="D183" s="185"/>
      <c r="E183" s="185"/>
      <c r="F183" s="185"/>
      <c r="G183" s="185"/>
      <c r="H183" s="185"/>
      <c r="I183" s="185"/>
      <c r="J183" s="185"/>
    </row>
    <row r="184" spans="2:10" ht="15.75" x14ac:dyDescent="0.25">
      <c r="B184" s="185" t="s">
        <v>449</v>
      </c>
      <c r="C184" s="185"/>
      <c r="D184" s="185"/>
      <c r="E184" s="185"/>
      <c r="F184" s="185"/>
      <c r="G184" s="185"/>
      <c r="H184" s="185"/>
      <c r="I184" s="185"/>
      <c r="J184" s="185"/>
    </row>
    <row r="185" spans="2:10" ht="15.75" x14ac:dyDescent="0.25">
      <c r="B185" s="185" t="s">
        <v>448</v>
      </c>
      <c r="C185" s="185"/>
      <c r="D185" s="185"/>
      <c r="E185" s="185"/>
      <c r="F185" s="185"/>
      <c r="G185" s="185"/>
      <c r="H185" s="185"/>
      <c r="I185" s="185"/>
      <c r="J185" s="185"/>
    </row>
    <row r="186" spans="2:10" ht="15.75" x14ac:dyDescent="0.25">
      <c r="B186" s="185"/>
      <c r="C186" s="185"/>
      <c r="D186" s="185"/>
      <c r="E186" s="185"/>
      <c r="F186" s="185"/>
      <c r="G186" s="185"/>
      <c r="H186" s="185"/>
      <c r="I186" s="185"/>
      <c r="J186" s="185"/>
    </row>
    <row r="187" spans="2:10" ht="15.75" x14ac:dyDescent="0.25">
      <c r="B187" s="184" t="s">
        <v>317</v>
      </c>
      <c r="C187" s="185"/>
      <c r="D187" s="185"/>
      <c r="E187" s="185"/>
      <c r="F187" s="185"/>
      <c r="G187" s="185"/>
      <c r="H187" s="185"/>
      <c r="I187" s="185"/>
      <c r="J187" s="185"/>
    </row>
    <row r="188" spans="2:10" ht="15.75" x14ac:dyDescent="0.25">
      <c r="B188" s="185"/>
      <c r="C188" s="185"/>
      <c r="D188" s="185"/>
      <c r="E188" s="185"/>
      <c r="F188" s="185"/>
      <c r="G188" s="185"/>
      <c r="H188" s="185"/>
      <c r="I188" s="185"/>
      <c r="J188" s="185"/>
    </row>
    <row r="189" spans="2:10" ht="15.75" x14ac:dyDescent="0.25">
      <c r="B189" s="185" t="s">
        <v>451</v>
      </c>
      <c r="C189" s="185"/>
      <c r="D189" s="185"/>
      <c r="E189" s="185"/>
      <c r="F189" s="185"/>
      <c r="G189" s="185"/>
      <c r="H189" s="185"/>
      <c r="I189" s="185"/>
      <c r="J189" s="185"/>
    </row>
    <row r="190" spans="2:10" ht="15.75" x14ac:dyDescent="0.25">
      <c r="B190" s="185" t="s">
        <v>450</v>
      </c>
      <c r="C190" s="185"/>
      <c r="D190" s="185"/>
      <c r="E190" s="185"/>
      <c r="F190" s="185"/>
      <c r="G190" s="185"/>
      <c r="H190" s="185"/>
      <c r="I190" s="185"/>
      <c r="J190" s="185"/>
    </row>
    <row r="191" spans="2:10" ht="15.75" x14ac:dyDescent="0.25">
      <c r="B191" s="185"/>
      <c r="C191" s="185"/>
      <c r="D191" s="185"/>
      <c r="E191" s="185"/>
      <c r="F191" s="185"/>
      <c r="G191" s="185"/>
      <c r="H191" s="185"/>
      <c r="I191" s="185"/>
      <c r="J191" s="185"/>
    </row>
    <row r="192" spans="2:10" ht="15.75" x14ac:dyDescent="0.25">
      <c r="B192" s="185"/>
      <c r="C192" s="185"/>
      <c r="D192" s="185"/>
      <c r="E192" s="185"/>
      <c r="F192" s="185"/>
      <c r="G192" s="185"/>
      <c r="H192" s="185"/>
      <c r="I192" s="185"/>
      <c r="J192" s="185"/>
    </row>
    <row r="193" spans="2:10" ht="15.75" x14ac:dyDescent="0.25">
      <c r="B193" s="184" t="s">
        <v>318</v>
      </c>
      <c r="C193" s="185"/>
      <c r="D193" s="185"/>
      <c r="E193" s="185"/>
      <c r="F193" s="185"/>
      <c r="G193" s="185"/>
      <c r="H193" s="185"/>
      <c r="I193" s="185"/>
      <c r="J193" s="185"/>
    </row>
    <row r="194" spans="2:10" ht="15.75" x14ac:dyDescent="0.25">
      <c r="B194" s="185"/>
      <c r="C194" s="185"/>
      <c r="D194" s="185"/>
      <c r="E194" s="185"/>
      <c r="F194" s="185"/>
      <c r="G194" s="185"/>
      <c r="H194" s="185"/>
      <c r="I194" s="185"/>
      <c r="J194" s="185"/>
    </row>
    <row r="195" spans="2:10" ht="15.75" x14ac:dyDescent="0.25">
      <c r="B195" s="185" t="s">
        <v>453</v>
      </c>
      <c r="C195" s="185"/>
      <c r="D195" s="185"/>
      <c r="E195" s="185"/>
      <c r="F195" s="185"/>
      <c r="G195" s="185"/>
      <c r="H195" s="185"/>
      <c r="I195" s="185"/>
      <c r="J195" s="185"/>
    </row>
    <row r="196" spans="2:10" ht="15.75" x14ac:dyDescent="0.25">
      <c r="B196" s="185" t="s">
        <v>454</v>
      </c>
      <c r="C196" s="185"/>
      <c r="D196" s="185"/>
      <c r="E196" s="185"/>
      <c r="F196" s="185"/>
      <c r="G196" s="185"/>
      <c r="H196" s="185"/>
      <c r="I196" s="185"/>
      <c r="J196" s="185"/>
    </row>
    <row r="197" spans="2:10" ht="15.75" x14ac:dyDescent="0.25">
      <c r="B197" s="185" t="s">
        <v>452</v>
      </c>
      <c r="C197" s="185"/>
      <c r="D197" s="185"/>
      <c r="E197" s="185"/>
      <c r="F197" s="185"/>
      <c r="G197" s="185"/>
      <c r="H197" s="185"/>
      <c r="I197" s="185"/>
      <c r="J197" s="185"/>
    </row>
    <row r="198" spans="2:10" ht="15.75" x14ac:dyDescent="0.25">
      <c r="B198" s="185"/>
      <c r="C198" s="185"/>
      <c r="D198" s="185"/>
      <c r="E198" s="185"/>
      <c r="F198" s="185"/>
      <c r="G198" s="185"/>
      <c r="H198" s="185"/>
      <c r="I198" s="185"/>
      <c r="J198" s="185"/>
    </row>
    <row r="199" spans="2:10" ht="15.75" x14ac:dyDescent="0.25">
      <c r="B199" s="185" t="s">
        <v>455</v>
      </c>
      <c r="C199" s="185"/>
      <c r="D199" s="185"/>
      <c r="E199" s="185"/>
      <c r="F199" s="185"/>
      <c r="G199" s="185"/>
      <c r="H199" s="185"/>
      <c r="I199" s="185"/>
      <c r="J199" s="185"/>
    </row>
    <row r="200" spans="2:10" ht="15.75" x14ac:dyDescent="0.25">
      <c r="B200" s="185" t="s">
        <v>456</v>
      </c>
      <c r="C200" s="185"/>
      <c r="D200" s="185"/>
      <c r="E200" s="185"/>
      <c r="F200" s="185"/>
      <c r="G200" s="185"/>
      <c r="H200" s="185"/>
      <c r="I200" s="185"/>
      <c r="J200" s="185"/>
    </row>
    <row r="201" spans="2:10" ht="15.75" x14ac:dyDescent="0.25">
      <c r="B201" s="185"/>
      <c r="C201" s="185"/>
      <c r="D201" s="185"/>
      <c r="E201" s="185"/>
      <c r="F201" s="185"/>
      <c r="G201" s="185"/>
      <c r="H201" s="185"/>
      <c r="I201" s="185"/>
      <c r="J201" s="185"/>
    </row>
    <row r="202" spans="2:10" ht="15.75" x14ac:dyDescent="0.25">
      <c r="B202" s="185"/>
      <c r="C202" s="185"/>
      <c r="D202" s="185"/>
      <c r="E202" s="185"/>
      <c r="F202" s="185"/>
      <c r="G202" s="185"/>
      <c r="H202" s="185"/>
      <c r="I202" s="185"/>
      <c r="J202" s="185"/>
    </row>
    <row r="203" spans="2:10" ht="15.75" x14ac:dyDescent="0.25">
      <c r="B203" s="184" t="s">
        <v>319</v>
      </c>
      <c r="C203" s="185"/>
      <c r="D203" s="185"/>
      <c r="E203" s="185"/>
      <c r="F203" s="185"/>
      <c r="G203" s="185"/>
      <c r="H203" s="185"/>
      <c r="I203" s="185"/>
      <c r="J203" s="185"/>
    </row>
    <row r="204" spans="2:10" ht="15.75" x14ac:dyDescent="0.25">
      <c r="B204" s="185"/>
      <c r="C204" s="185"/>
      <c r="D204" s="185"/>
      <c r="E204" s="185"/>
      <c r="F204" s="185"/>
      <c r="G204" s="185"/>
      <c r="H204" s="185"/>
      <c r="I204" s="185"/>
      <c r="J204" s="185"/>
    </row>
    <row r="205" spans="2:10" ht="15.75" x14ac:dyDescent="0.25">
      <c r="B205" s="185" t="s">
        <v>457</v>
      </c>
      <c r="C205" s="185"/>
      <c r="D205" s="185"/>
      <c r="E205" s="185"/>
      <c r="F205" s="185"/>
      <c r="G205" s="185"/>
      <c r="H205" s="185"/>
      <c r="I205" s="185"/>
      <c r="J205" s="185"/>
    </row>
    <row r="206" spans="2:10" ht="15.75" x14ac:dyDescent="0.25">
      <c r="B206" s="185" t="s">
        <v>459</v>
      </c>
      <c r="C206" s="185"/>
      <c r="D206" s="185"/>
      <c r="E206" s="185"/>
      <c r="F206" s="185"/>
      <c r="G206" s="185"/>
      <c r="H206" s="185"/>
      <c r="I206" s="185"/>
      <c r="J206" s="185"/>
    </row>
    <row r="207" spans="2:10" ht="15.75" x14ac:dyDescent="0.25">
      <c r="B207" s="185" t="s">
        <v>458</v>
      </c>
      <c r="C207" s="185"/>
      <c r="D207" s="185"/>
      <c r="E207" s="185"/>
      <c r="F207" s="185"/>
      <c r="G207" s="185"/>
      <c r="H207" s="185"/>
      <c r="I207" s="185"/>
      <c r="J207" s="185"/>
    </row>
    <row r="208" spans="2:10" ht="15.75" x14ac:dyDescent="0.25">
      <c r="B208" s="185"/>
      <c r="C208" s="185"/>
      <c r="D208" s="185"/>
      <c r="E208" s="185"/>
      <c r="F208" s="185"/>
      <c r="G208" s="185"/>
      <c r="H208" s="185"/>
      <c r="I208" s="185"/>
      <c r="J208" s="185"/>
    </row>
    <row r="209" spans="2:10" ht="15.75" x14ac:dyDescent="0.25">
      <c r="B209" s="185" t="s">
        <v>461</v>
      </c>
      <c r="C209" s="185"/>
      <c r="D209" s="185"/>
      <c r="E209" s="185"/>
      <c r="F209" s="185"/>
      <c r="G209" s="185"/>
      <c r="H209" s="185"/>
      <c r="I209" s="185"/>
      <c r="J209" s="185"/>
    </row>
    <row r="210" spans="2:10" ht="15.75" x14ac:dyDescent="0.25">
      <c r="B210" s="185" t="s">
        <v>460</v>
      </c>
      <c r="C210" s="185"/>
      <c r="D210" s="185"/>
      <c r="E210" s="185"/>
      <c r="F210" s="185"/>
      <c r="G210" s="185"/>
      <c r="H210" s="185"/>
      <c r="I210" s="185"/>
      <c r="J210" s="185"/>
    </row>
    <row r="211" spans="2:10" ht="15.75" x14ac:dyDescent="0.25">
      <c r="B211" s="185"/>
      <c r="C211" s="185"/>
      <c r="D211" s="185"/>
      <c r="E211" s="185"/>
      <c r="F211" s="185"/>
      <c r="G211" s="185"/>
      <c r="H211" s="185"/>
      <c r="I211" s="185"/>
      <c r="J211" s="185"/>
    </row>
    <row r="212" spans="2:10" ht="15.75" x14ac:dyDescent="0.25">
      <c r="B212" s="185" t="s">
        <v>463</v>
      </c>
      <c r="C212" s="185"/>
      <c r="D212" s="185"/>
      <c r="E212" s="185"/>
      <c r="F212" s="185"/>
      <c r="G212" s="185"/>
      <c r="H212" s="185"/>
      <c r="I212" s="185"/>
      <c r="J212" s="185"/>
    </row>
    <row r="213" spans="2:10" ht="15.75" x14ac:dyDescent="0.25">
      <c r="B213" s="185" t="s">
        <v>462</v>
      </c>
      <c r="C213" s="185"/>
      <c r="D213" s="185"/>
      <c r="E213" s="185"/>
      <c r="F213" s="185"/>
      <c r="G213" s="185"/>
      <c r="H213" s="185"/>
      <c r="I213" s="185"/>
      <c r="J213" s="185"/>
    </row>
    <row r="214" spans="2:10" ht="15.75" x14ac:dyDescent="0.25">
      <c r="B214" s="185"/>
      <c r="C214" s="185"/>
      <c r="D214" s="185"/>
      <c r="E214" s="185"/>
      <c r="F214" s="185"/>
      <c r="G214" s="185"/>
      <c r="H214" s="185"/>
      <c r="I214" s="185"/>
      <c r="J214" s="185"/>
    </row>
    <row r="215" spans="2:10" ht="15.75" x14ac:dyDescent="0.25">
      <c r="B215" s="185" t="s">
        <v>320</v>
      </c>
      <c r="C215" s="185"/>
      <c r="D215" s="185"/>
      <c r="E215" s="185"/>
      <c r="F215" s="185"/>
      <c r="G215" s="185"/>
      <c r="H215" s="185"/>
      <c r="I215" s="185"/>
      <c r="J215" s="185"/>
    </row>
    <row r="216" spans="2:10" ht="15.75" x14ac:dyDescent="0.25">
      <c r="B216" s="185"/>
      <c r="C216" s="185"/>
      <c r="D216" s="185"/>
      <c r="E216" s="185"/>
      <c r="F216" s="185"/>
      <c r="G216" s="185"/>
      <c r="H216" s="185"/>
      <c r="I216" s="185"/>
      <c r="J216" s="185"/>
    </row>
    <row r="217" spans="2:10" ht="15.75" x14ac:dyDescent="0.25">
      <c r="B217" s="185" t="s">
        <v>466</v>
      </c>
      <c r="C217" s="185"/>
      <c r="D217" s="185"/>
      <c r="E217" s="185"/>
      <c r="F217" s="185"/>
      <c r="G217" s="185"/>
      <c r="H217" s="185"/>
      <c r="I217" s="185"/>
      <c r="J217" s="185"/>
    </row>
    <row r="218" spans="2:10" ht="15.75" x14ac:dyDescent="0.25">
      <c r="B218" s="185" t="s">
        <v>465</v>
      </c>
      <c r="C218" s="185"/>
      <c r="D218" s="185"/>
      <c r="E218" s="185"/>
      <c r="F218" s="185"/>
      <c r="G218" s="185"/>
      <c r="H218" s="185"/>
      <c r="I218" s="185"/>
      <c r="J218" s="185"/>
    </row>
    <row r="219" spans="2:10" ht="15.75" x14ac:dyDescent="0.25">
      <c r="B219" s="185" t="s">
        <v>464</v>
      </c>
      <c r="C219" s="185"/>
      <c r="D219" s="185"/>
      <c r="E219" s="185"/>
      <c r="F219" s="185"/>
      <c r="G219" s="185"/>
      <c r="H219" s="185"/>
      <c r="I219" s="185"/>
      <c r="J219" s="185"/>
    </row>
    <row r="220" spans="2:10" ht="15.75" x14ac:dyDescent="0.25">
      <c r="B220" s="185"/>
      <c r="C220" s="185"/>
      <c r="D220" s="185"/>
      <c r="E220" s="185"/>
      <c r="F220" s="185"/>
      <c r="G220" s="185"/>
      <c r="H220" s="185"/>
      <c r="I220" s="185"/>
      <c r="J220" s="185"/>
    </row>
    <row r="221" spans="2:10" ht="15.75" x14ac:dyDescent="0.25">
      <c r="B221" s="185" t="s">
        <v>468</v>
      </c>
      <c r="C221" s="185"/>
      <c r="D221" s="185"/>
      <c r="E221" s="185"/>
      <c r="F221" s="185"/>
      <c r="G221" s="185"/>
      <c r="H221" s="185"/>
      <c r="I221" s="185"/>
      <c r="J221" s="185"/>
    </row>
    <row r="222" spans="2:10" ht="15.75" x14ac:dyDescent="0.25">
      <c r="B222" s="185" t="s">
        <v>467</v>
      </c>
      <c r="C222" s="185"/>
      <c r="D222" s="185"/>
      <c r="E222" s="185"/>
      <c r="F222" s="185"/>
      <c r="G222" s="185"/>
      <c r="H222" s="185"/>
      <c r="I222" s="185"/>
      <c r="J222" s="185"/>
    </row>
    <row r="223" spans="2:10" ht="15.75" x14ac:dyDescent="0.25">
      <c r="B223" s="185"/>
      <c r="C223" s="185"/>
      <c r="D223" s="185"/>
      <c r="E223" s="185"/>
      <c r="F223" s="185"/>
      <c r="G223" s="185"/>
      <c r="H223" s="185"/>
      <c r="I223" s="185"/>
      <c r="J223" s="185"/>
    </row>
    <row r="224" spans="2:10" ht="15.75" x14ac:dyDescent="0.25">
      <c r="B224" s="185" t="s">
        <v>469</v>
      </c>
      <c r="C224" s="185"/>
      <c r="D224" s="185"/>
      <c r="E224" s="185"/>
      <c r="F224" s="185"/>
      <c r="G224" s="185"/>
      <c r="H224" s="185"/>
      <c r="I224" s="185"/>
      <c r="J224" s="185"/>
    </row>
    <row r="225" spans="2:10" ht="15.75" x14ac:dyDescent="0.25">
      <c r="B225" s="185" t="s">
        <v>471</v>
      </c>
      <c r="C225" s="185"/>
      <c r="D225" s="185"/>
      <c r="E225" s="185"/>
      <c r="F225" s="185"/>
      <c r="G225" s="185"/>
      <c r="H225" s="185"/>
      <c r="I225" s="185"/>
      <c r="J225" s="185"/>
    </row>
    <row r="226" spans="2:10" ht="15.75" x14ac:dyDescent="0.25">
      <c r="B226" s="185" t="s">
        <v>472</v>
      </c>
      <c r="C226" s="185"/>
      <c r="D226" s="185"/>
      <c r="E226" s="185"/>
      <c r="F226" s="185"/>
      <c r="G226" s="185"/>
      <c r="H226" s="185"/>
      <c r="I226" s="185"/>
      <c r="J226" s="185"/>
    </row>
    <row r="227" spans="2:10" ht="15.75" x14ac:dyDescent="0.25">
      <c r="B227" s="185" t="s">
        <v>470</v>
      </c>
      <c r="C227" s="185"/>
      <c r="D227" s="185"/>
      <c r="E227" s="185"/>
      <c r="F227" s="185"/>
      <c r="G227" s="185"/>
      <c r="H227" s="185"/>
      <c r="I227" s="185"/>
      <c r="J227" s="185"/>
    </row>
    <row r="228" spans="2:10" ht="15.75" x14ac:dyDescent="0.25">
      <c r="B228" s="185"/>
      <c r="C228" s="185"/>
      <c r="D228" s="185"/>
      <c r="E228" s="185"/>
      <c r="F228" s="185"/>
      <c r="G228" s="185"/>
      <c r="H228" s="185"/>
      <c r="I228" s="185"/>
      <c r="J228" s="185"/>
    </row>
    <row r="229" spans="2:10" ht="15.75" x14ac:dyDescent="0.25">
      <c r="B229" s="184" t="s">
        <v>321</v>
      </c>
      <c r="C229" s="184"/>
      <c r="D229" s="185"/>
      <c r="E229" s="185"/>
      <c r="F229" s="185"/>
      <c r="G229" s="185"/>
      <c r="H229" s="185"/>
      <c r="I229" s="185"/>
      <c r="J229" s="185"/>
    </row>
    <row r="230" spans="2:10" ht="15.75" x14ac:dyDescent="0.25">
      <c r="B230" s="185"/>
      <c r="C230" s="185"/>
      <c r="D230" s="185"/>
      <c r="E230" s="185"/>
      <c r="F230" s="185"/>
      <c r="G230" s="185"/>
      <c r="H230" s="185"/>
      <c r="I230" s="185"/>
      <c r="J230" s="185"/>
    </row>
    <row r="231" spans="2:10" ht="15.75" x14ac:dyDescent="0.25">
      <c r="B231" s="185" t="s">
        <v>474</v>
      </c>
      <c r="C231" s="185"/>
      <c r="D231" s="185"/>
      <c r="E231" s="185"/>
      <c r="F231" s="185"/>
      <c r="G231" s="185"/>
      <c r="H231" s="185"/>
      <c r="I231" s="185"/>
      <c r="J231" s="185"/>
    </row>
    <row r="232" spans="2:10" ht="15.75" x14ac:dyDescent="0.25">
      <c r="B232" s="185" t="s">
        <v>473</v>
      </c>
      <c r="C232" s="185"/>
      <c r="D232" s="185"/>
      <c r="E232" s="185"/>
      <c r="F232" s="185"/>
      <c r="G232" s="185"/>
      <c r="H232" s="185"/>
      <c r="I232" s="185"/>
      <c r="J232" s="185"/>
    </row>
    <row r="233" spans="2:10" ht="15.75" x14ac:dyDescent="0.25">
      <c r="B233" s="185"/>
      <c r="C233" s="185"/>
      <c r="D233" s="185"/>
      <c r="E233" s="185"/>
      <c r="F233" s="185"/>
      <c r="G233" s="185"/>
      <c r="H233" s="185"/>
      <c r="I233" s="185"/>
      <c r="J233" s="185"/>
    </row>
    <row r="234" spans="2:10" ht="15.75" x14ac:dyDescent="0.25">
      <c r="B234" s="185" t="s">
        <v>383</v>
      </c>
      <c r="C234" s="185"/>
      <c r="D234" s="185"/>
      <c r="E234" s="185"/>
      <c r="F234" s="185"/>
      <c r="G234" s="185"/>
      <c r="H234" s="185"/>
      <c r="I234" s="185"/>
      <c r="J234" s="185"/>
    </row>
    <row r="235" spans="2:10" ht="15.75" x14ac:dyDescent="0.25">
      <c r="B235" s="185"/>
      <c r="C235" s="185"/>
      <c r="D235" s="185"/>
      <c r="E235" s="185"/>
      <c r="F235" s="185"/>
      <c r="G235" s="185"/>
      <c r="H235" s="185"/>
      <c r="I235" s="185"/>
      <c r="J235" s="185"/>
    </row>
    <row r="236" spans="2:10" ht="15.75" x14ac:dyDescent="0.25">
      <c r="B236" s="185"/>
      <c r="C236" s="185"/>
      <c r="D236" s="185"/>
      <c r="E236" s="185"/>
      <c r="F236" s="185"/>
      <c r="G236" s="185"/>
      <c r="H236" s="185"/>
      <c r="I236" s="185"/>
      <c r="J236" s="185"/>
    </row>
    <row r="237" spans="2:10" ht="15.75" x14ac:dyDescent="0.25">
      <c r="B237" s="184" t="s">
        <v>322</v>
      </c>
      <c r="C237" s="185"/>
      <c r="D237" s="185"/>
      <c r="E237" s="185"/>
      <c r="F237" s="185"/>
      <c r="G237" s="185"/>
      <c r="H237" s="185"/>
      <c r="I237" s="185"/>
      <c r="J237" s="185"/>
    </row>
    <row r="238" spans="2:10" ht="15.75" x14ac:dyDescent="0.25">
      <c r="B238" s="185"/>
      <c r="C238" s="185"/>
      <c r="D238" s="185"/>
      <c r="E238" s="185"/>
      <c r="F238" s="185"/>
      <c r="G238" s="185"/>
      <c r="H238" s="185"/>
      <c r="I238" s="185"/>
      <c r="J238" s="185"/>
    </row>
    <row r="239" spans="2:10" ht="15.75" x14ac:dyDescent="0.25">
      <c r="B239" s="185" t="s">
        <v>475</v>
      </c>
      <c r="C239" s="185"/>
      <c r="D239" s="185"/>
      <c r="E239" s="185"/>
      <c r="F239" s="185"/>
      <c r="G239" s="185"/>
      <c r="H239" s="185"/>
      <c r="I239" s="185"/>
      <c r="J239" s="185"/>
    </row>
    <row r="240" spans="2:10" ht="15.75" x14ac:dyDescent="0.25">
      <c r="B240" s="185" t="s">
        <v>477</v>
      </c>
      <c r="C240" s="185"/>
      <c r="D240" s="185"/>
      <c r="E240" s="185"/>
      <c r="F240" s="185"/>
      <c r="G240" s="185"/>
      <c r="H240" s="185"/>
      <c r="I240" s="185"/>
      <c r="J240" s="185"/>
    </row>
    <row r="241" spans="2:10" ht="15.75" x14ac:dyDescent="0.25">
      <c r="B241" s="185" t="s">
        <v>476</v>
      </c>
      <c r="C241" s="185"/>
      <c r="D241" s="185"/>
      <c r="E241" s="185"/>
      <c r="F241" s="185"/>
      <c r="G241" s="185"/>
      <c r="H241" s="185"/>
      <c r="I241" s="185"/>
      <c r="J241" s="185"/>
    </row>
    <row r="242" spans="2:10" ht="15.75" x14ac:dyDescent="0.25">
      <c r="B242" s="185"/>
      <c r="C242" s="185"/>
      <c r="D242" s="185"/>
      <c r="E242" s="185"/>
      <c r="F242" s="185"/>
      <c r="G242" s="185"/>
      <c r="H242" s="185"/>
      <c r="I242" s="185"/>
      <c r="J242" s="185"/>
    </row>
    <row r="243" spans="2:10" ht="15.75" x14ac:dyDescent="0.25">
      <c r="B243" s="185" t="s">
        <v>479</v>
      </c>
      <c r="C243" s="185"/>
      <c r="D243" s="185"/>
      <c r="E243" s="185"/>
      <c r="F243" s="185"/>
      <c r="G243" s="185"/>
      <c r="H243" s="185"/>
      <c r="I243" s="185"/>
      <c r="J243" s="185"/>
    </row>
    <row r="244" spans="2:10" ht="15.75" x14ac:dyDescent="0.25">
      <c r="B244" s="185" t="s">
        <v>478</v>
      </c>
      <c r="C244" s="185"/>
      <c r="D244" s="185"/>
      <c r="E244" s="185"/>
      <c r="F244" s="185"/>
      <c r="G244" s="185"/>
      <c r="H244" s="185"/>
      <c r="I244" s="185"/>
      <c r="J244" s="185"/>
    </row>
    <row r="245" spans="2:10" ht="15.75" x14ac:dyDescent="0.25">
      <c r="B245" s="185"/>
      <c r="C245" s="185"/>
      <c r="D245" s="185"/>
      <c r="E245" s="185"/>
      <c r="F245" s="185"/>
      <c r="G245" s="185"/>
      <c r="H245" s="185"/>
      <c r="I245" s="185"/>
      <c r="J245" s="185"/>
    </row>
    <row r="246" spans="2:10" ht="15.75" x14ac:dyDescent="0.25">
      <c r="B246" s="185" t="s">
        <v>481</v>
      </c>
      <c r="C246" s="185"/>
      <c r="D246" s="185"/>
      <c r="E246" s="185"/>
      <c r="F246" s="185"/>
      <c r="G246" s="185"/>
      <c r="H246" s="185"/>
      <c r="I246" s="185"/>
      <c r="J246" s="185"/>
    </row>
    <row r="247" spans="2:10" ht="15.75" x14ac:dyDescent="0.25">
      <c r="B247" s="185" t="s">
        <v>480</v>
      </c>
      <c r="C247" s="185"/>
      <c r="D247" s="185"/>
      <c r="E247" s="185"/>
      <c r="F247" s="185"/>
      <c r="G247" s="185"/>
      <c r="H247" s="185"/>
      <c r="I247" s="185"/>
      <c r="J247" s="185"/>
    </row>
    <row r="248" spans="2:10" ht="15.75" x14ac:dyDescent="0.25">
      <c r="B248" s="185"/>
      <c r="C248" s="185"/>
      <c r="D248" s="185"/>
      <c r="E248" s="185"/>
      <c r="F248" s="185"/>
      <c r="G248" s="185"/>
      <c r="H248" s="185"/>
      <c r="I248" s="185"/>
      <c r="J248" s="185"/>
    </row>
    <row r="249" spans="2:10" ht="15.75" x14ac:dyDescent="0.25">
      <c r="B249" s="185" t="s">
        <v>484</v>
      </c>
      <c r="C249" s="185"/>
      <c r="D249" s="185"/>
      <c r="E249" s="185"/>
      <c r="F249" s="185"/>
      <c r="G249" s="185"/>
      <c r="H249" s="185"/>
      <c r="I249" s="185"/>
      <c r="J249" s="185"/>
    </row>
    <row r="250" spans="2:10" ht="15.75" x14ac:dyDescent="0.25">
      <c r="B250" s="185" t="s">
        <v>483</v>
      </c>
      <c r="C250" s="185"/>
      <c r="D250" s="185"/>
      <c r="E250" s="185"/>
      <c r="F250" s="185"/>
      <c r="G250" s="185"/>
      <c r="H250" s="185"/>
      <c r="I250" s="185"/>
      <c r="J250" s="185"/>
    </row>
    <row r="251" spans="2:10" ht="15.75" x14ac:dyDescent="0.25">
      <c r="B251" s="185" t="s">
        <v>482</v>
      </c>
      <c r="C251" s="185"/>
      <c r="D251" s="185"/>
      <c r="E251" s="185"/>
      <c r="F251" s="185"/>
      <c r="G251" s="185"/>
      <c r="H251" s="185"/>
      <c r="I251" s="185"/>
      <c r="J251" s="185"/>
    </row>
    <row r="252" spans="2:10" ht="15.75" x14ac:dyDescent="0.25">
      <c r="B252" s="185"/>
      <c r="C252" s="185"/>
      <c r="D252" s="185"/>
      <c r="E252" s="185"/>
      <c r="F252" s="185"/>
      <c r="G252" s="185"/>
      <c r="H252" s="185"/>
      <c r="I252" s="185"/>
      <c r="J252" s="185"/>
    </row>
    <row r="253" spans="2:10" ht="15.75" x14ac:dyDescent="0.25">
      <c r="B253" s="184" t="s">
        <v>323</v>
      </c>
      <c r="C253" s="185"/>
      <c r="D253" s="185"/>
      <c r="E253" s="185"/>
      <c r="F253" s="185"/>
      <c r="G253" s="185"/>
      <c r="H253" s="185"/>
      <c r="I253" s="185"/>
      <c r="J253" s="185"/>
    </row>
    <row r="254" spans="2:10" ht="15.75" x14ac:dyDescent="0.25">
      <c r="B254" s="185"/>
      <c r="C254" s="185"/>
      <c r="D254" s="185"/>
      <c r="E254" s="185"/>
      <c r="F254" s="185"/>
      <c r="G254" s="185"/>
      <c r="H254" s="185"/>
      <c r="I254" s="185"/>
      <c r="J254" s="185"/>
    </row>
    <row r="255" spans="2:10" ht="15.75" x14ac:dyDescent="0.25">
      <c r="B255" s="184" t="s">
        <v>324</v>
      </c>
      <c r="C255" s="185"/>
      <c r="D255" s="185"/>
      <c r="E255" s="185"/>
      <c r="F255" s="185"/>
      <c r="G255" s="185"/>
      <c r="H255" s="185"/>
      <c r="I255" s="185"/>
      <c r="J255" s="185"/>
    </row>
    <row r="256" spans="2:10" ht="15.75" x14ac:dyDescent="0.25">
      <c r="B256" s="185"/>
      <c r="C256" s="185"/>
      <c r="D256" s="185"/>
      <c r="E256" s="185"/>
      <c r="F256" s="185"/>
      <c r="G256" s="185"/>
      <c r="H256" s="185"/>
      <c r="I256" s="185"/>
      <c r="J256" s="185"/>
    </row>
    <row r="257" spans="2:10" ht="15.75" x14ac:dyDescent="0.25">
      <c r="B257" s="185" t="s">
        <v>486</v>
      </c>
      <c r="C257" s="185"/>
      <c r="D257" s="185"/>
      <c r="E257" s="185"/>
      <c r="F257" s="185"/>
      <c r="G257" s="185"/>
      <c r="H257" s="185"/>
      <c r="I257" s="185"/>
      <c r="J257" s="185"/>
    </row>
    <row r="258" spans="2:10" ht="15.75" x14ac:dyDescent="0.25">
      <c r="B258" s="185" t="s">
        <v>485</v>
      </c>
      <c r="C258" s="185"/>
      <c r="D258" s="185"/>
      <c r="E258" s="185"/>
      <c r="F258" s="185"/>
      <c r="G258" s="185"/>
      <c r="H258" s="185"/>
      <c r="I258" s="185"/>
      <c r="J258" s="185"/>
    </row>
    <row r="259" spans="2:10" ht="15.75" x14ac:dyDescent="0.25">
      <c r="B259" s="185"/>
      <c r="C259" s="185"/>
      <c r="D259" s="185"/>
      <c r="E259" s="185"/>
      <c r="F259" s="185"/>
      <c r="G259" s="185"/>
      <c r="H259" s="185"/>
      <c r="I259" s="185"/>
      <c r="J259" s="185"/>
    </row>
    <row r="260" spans="2:10" ht="15.75" x14ac:dyDescent="0.25">
      <c r="B260" s="185" t="s">
        <v>488</v>
      </c>
      <c r="C260" s="185"/>
      <c r="D260" s="185"/>
      <c r="E260" s="185"/>
      <c r="F260" s="185"/>
      <c r="G260" s="185"/>
      <c r="H260" s="185"/>
      <c r="I260" s="185"/>
      <c r="J260" s="185"/>
    </row>
    <row r="261" spans="2:10" ht="15.75" x14ac:dyDescent="0.25">
      <c r="B261" s="185" t="s">
        <v>489</v>
      </c>
      <c r="C261" s="185"/>
      <c r="D261" s="185"/>
      <c r="E261" s="185"/>
      <c r="F261" s="185"/>
      <c r="G261" s="185"/>
      <c r="H261" s="185"/>
      <c r="I261" s="185"/>
      <c r="J261" s="185"/>
    </row>
    <row r="262" spans="2:10" ht="15.75" x14ac:dyDescent="0.25">
      <c r="B262" s="185" t="s">
        <v>487</v>
      </c>
      <c r="C262" s="185"/>
      <c r="D262" s="185"/>
      <c r="E262" s="185"/>
      <c r="F262" s="185"/>
      <c r="G262" s="185"/>
      <c r="H262" s="185"/>
      <c r="I262" s="185"/>
      <c r="J262" s="185"/>
    </row>
    <row r="263" spans="2:10" ht="15.75" x14ac:dyDescent="0.25">
      <c r="B263" s="185"/>
      <c r="C263" s="185"/>
      <c r="D263" s="185"/>
      <c r="E263" s="185"/>
      <c r="F263" s="185"/>
      <c r="G263" s="185"/>
      <c r="H263" s="185"/>
      <c r="I263" s="185"/>
      <c r="J263" s="185"/>
    </row>
    <row r="264" spans="2:10" ht="15.75" x14ac:dyDescent="0.25">
      <c r="B264" s="185" t="s">
        <v>491</v>
      </c>
      <c r="C264" s="185"/>
      <c r="D264" s="185"/>
      <c r="E264" s="185"/>
      <c r="F264" s="185"/>
      <c r="G264" s="185"/>
      <c r="H264" s="185"/>
      <c r="I264" s="185"/>
      <c r="J264" s="185"/>
    </row>
    <row r="265" spans="2:10" ht="15.75" x14ac:dyDescent="0.25">
      <c r="B265" s="185" t="s">
        <v>492</v>
      </c>
      <c r="C265" s="185"/>
      <c r="D265" s="185"/>
      <c r="E265" s="185"/>
      <c r="F265" s="185"/>
      <c r="G265" s="185"/>
      <c r="H265" s="185"/>
      <c r="I265" s="185"/>
      <c r="J265" s="185"/>
    </row>
    <row r="266" spans="2:10" ht="15.75" x14ac:dyDescent="0.25">
      <c r="B266" s="185" t="s">
        <v>490</v>
      </c>
      <c r="C266" s="185"/>
      <c r="D266" s="185"/>
      <c r="E266" s="185"/>
      <c r="F266" s="185"/>
      <c r="G266" s="185"/>
      <c r="H266" s="185"/>
      <c r="I266" s="185"/>
      <c r="J266" s="185"/>
    </row>
    <row r="267" spans="2:10" ht="15.75" x14ac:dyDescent="0.25">
      <c r="B267" s="185"/>
      <c r="C267" s="185"/>
      <c r="D267" s="185"/>
      <c r="E267" s="185"/>
      <c r="F267" s="185"/>
      <c r="G267" s="185"/>
      <c r="H267" s="185"/>
      <c r="I267" s="185"/>
      <c r="J267" s="185"/>
    </row>
    <row r="268" spans="2:10" ht="15.75" x14ac:dyDescent="0.25">
      <c r="B268" s="185"/>
      <c r="C268" s="185"/>
      <c r="D268" s="185"/>
      <c r="E268" s="185"/>
      <c r="F268" s="185"/>
      <c r="G268" s="185"/>
      <c r="H268" s="185"/>
      <c r="I268" s="185"/>
      <c r="J268" s="185"/>
    </row>
    <row r="269" spans="2:10" ht="15.75" x14ac:dyDescent="0.25">
      <c r="B269" s="184" t="s">
        <v>325</v>
      </c>
      <c r="C269" s="185"/>
      <c r="D269" s="185"/>
      <c r="E269" s="185"/>
      <c r="F269" s="185"/>
      <c r="G269" s="185"/>
      <c r="H269" s="185"/>
      <c r="I269" s="185"/>
      <c r="J269" s="185"/>
    </row>
    <row r="270" spans="2:10" ht="15.75" x14ac:dyDescent="0.25">
      <c r="B270" s="185"/>
      <c r="C270" s="185"/>
      <c r="D270" s="185"/>
      <c r="E270" s="185"/>
      <c r="F270" s="185"/>
      <c r="G270" s="185"/>
      <c r="H270" s="185"/>
      <c r="I270" s="185"/>
      <c r="J270" s="185"/>
    </row>
    <row r="271" spans="2:10" ht="15.75" x14ac:dyDescent="0.25">
      <c r="B271" s="185" t="s">
        <v>493</v>
      </c>
      <c r="C271" s="185"/>
      <c r="D271" s="185"/>
      <c r="E271" s="185"/>
      <c r="F271" s="185"/>
      <c r="G271" s="185"/>
      <c r="H271" s="185"/>
      <c r="I271" s="185"/>
      <c r="J271" s="185"/>
    </row>
    <row r="272" spans="2:10" ht="15.75" x14ac:dyDescent="0.25">
      <c r="B272" s="185" t="s">
        <v>494</v>
      </c>
      <c r="C272" s="185"/>
      <c r="D272" s="185"/>
      <c r="E272" s="185"/>
      <c r="F272" s="185"/>
      <c r="G272" s="185"/>
      <c r="H272" s="185"/>
      <c r="I272" s="185"/>
      <c r="J272" s="185"/>
    </row>
    <row r="273" spans="2:10" ht="15.75" x14ac:dyDescent="0.25">
      <c r="B273" s="185"/>
      <c r="C273" s="185"/>
      <c r="D273" s="185"/>
      <c r="E273" s="185"/>
      <c r="F273" s="185"/>
      <c r="G273" s="185"/>
      <c r="H273" s="185"/>
      <c r="I273" s="185"/>
      <c r="J273" s="185"/>
    </row>
    <row r="274" spans="2:10" ht="15.75" x14ac:dyDescent="0.25">
      <c r="B274" s="184" t="s">
        <v>326</v>
      </c>
      <c r="C274" s="185"/>
      <c r="D274" s="185"/>
      <c r="E274" s="185"/>
      <c r="F274" s="185"/>
      <c r="G274" s="185"/>
      <c r="H274" s="185"/>
      <c r="I274" s="185"/>
      <c r="J274" s="185"/>
    </row>
    <row r="275" spans="2:10" ht="15.75" x14ac:dyDescent="0.25">
      <c r="B275" s="185"/>
      <c r="C275" s="185"/>
      <c r="D275" s="185"/>
      <c r="E275" s="185"/>
      <c r="F275" s="185"/>
      <c r="G275" s="185"/>
      <c r="H275" s="185"/>
      <c r="I275" s="185"/>
      <c r="J275" s="185"/>
    </row>
    <row r="276" spans="2:10" ht="15.75" x14ac:dyDescent="0.25">
      <c r="B276" s="185" t="s">
        <v>496</v>
      </c>
      <c r="C276" s="185"/>
      <c r="D276" s="185"/>
      <c r="E276" s="185"/>
      <c r="F276" s="185"/>
      <c r="G276" s="185"/>
      <c r="H276" s="185"/>
      <c r="I276" s="185"/>
      <c r="J276" s="185"/>
    </row>
    <row r="277" spans="2:10" ht="15.75" x14ac:dyDescent="0.25">
      <c r="B277" s="185" t="s">
        <v>495</v>
      </c>
      <c r="C277" s="185"/>
      <c r="D277" s="185"/>
      <c r="E277" s="185"/>
      <c r="F277" s="185"/>
      <c r="G277" s="185"/>
      <c r="H277" s="185"/>
      <c r="I277" s="185"/>
      <c r="J277" s="185"/>
    </row>
    <row r="278" spans="2:10" ht="15.75" x14ac:dyDescent="0.25">
      <c r="B278" s="185"/>
      <c r="C278" s="185"/>
      <c r="D278" s="185"/>
      <c r="E278" s="185"/>
      <c r="F278" s="185"/>
      <c r="G278" s="185"/>
      <c r="H278" s="185"/>
      <c r="I278" s="185"/>
      <c r="J278" s="185"/>
    </row>
    <row r="279" spans="2:10" ht="15.75" x14ac:dyDescent="0.25">
      <c r="B279" s="185"/>
      <c r="C279" s="185"/>
      <c r="D279" s="185"/>
      <c r="E279" s="185"/>
      <c r="F279" s="185"/>
      <c r="G279" s="185"/>
      <c r="H279" s="185"/>
      <c r="I279" s="185"/>
      <c r="J279" s="185"/>
    </row>
    <row r="280" spans="2:10" ht="15.75" x14ac:dyDescent="0.25">
      <c r="B280" s="184" t="s">
        <v>265</v>
      </c>
      <c r="C280" s="185"/>
      <c r="D280" s="185"/>
      <c r="E280" s="185"/>
      <c r="F280" s="185"/>
      <c r="G280" s="185"/>
      <c r="H280" s="185"/>
      <c r="I280" s="185"/>
      <c r="J280" s="185"/>
    </row>
    <row r="281" spans="2:10" ht="15.75" x14ac:dyDescent="0.25">
      <c r="B281" s="185"/>
      <c r="C281" s="185"/>
      <c r="D281" s="185"/>
      <c r="E281" s="185"/>
      <c r="F281" s="185"/>
      <c r="G281" s="185"/>
      <c r="H281" s="185"/>
      <c r="I281" s="185"/>
      <c r="J281" s="185"/>
    </row>
    <row r="282" spans="2:10" ht="15.75" x14ac:dyDescent="0.25">
      <c r="B282" s="185" t="s">
        <v>497</v>
      </c>
      <c r="C282" s="185"/>
      <c r="D282" s="185"/>
      <c r="E282" s="185"/>
      <c r="F282" s="185"/>
      <c r="G282" s="185"/>
      <c r="H282" s="185"/>
      <c r="I282" s="185"/>
      <c r="J282" s="185"/>
    </row>
    <row r="283" spans="2:10" ht="15.75" x14ac:dyDescent="0.25">
      <c r="B283" s="185" t="s">
        <v>498</v>
      </c>
      <c r="C283" s="185"/>
      <c r="D283" s="185"/>
      <c r="E283" s="185"/>
      <c r="F283" s="185"/>
      <c r="G283" s="185"/>
      <c r="H283" s="185"/>
      <c r="I283" s="185"/>
      <c r="J283" s="185"/>
    </row>
    <row r="284" spans="2:10" ht="15.75" x14ac:dyDescent="0.25">
      <c r="B284" s="185" t="s">
        <v>500</v>
      </c>
      <c r="C284" s="185"/>
      <c r="D284" s="185"/>
      <c r="E284" s="185"/>
      <c r="F284" s="185"/>
      <c r="G284" s="185"/>
      <c r="H284" s="185"/>
      <c r="I284" s="185"/>
      <c r="J284" s="185"/>
    </row>
    <row r="285" spans="2:10" ht="15.75" x14ac:dyDescent="0.25">
      <c r="B285" s="185" t="s">
        <v>502</v>
      </c>
      <c r="C285" s="185"/>
      <c r="D285" s="185"/>
      <c r="E285" s="185"/>
      <c r="F285" s="185"/>
      <c r="G285" s="185"/>
      <c r="H285" s="185"/>
      <c r="I285" s="185"/>
      <c r="J285" s="185"/>
    </row>
    <row r="286" spans="2:10" ht="15.75" x14ac:dyDescent="0.25">
      <c r="B286" s="185" t="s">
        <v>501</v>
      </c>
      <c r="C286" s="185"/>
      <c r="D286" s="185"/>
      <c r="E286" s="185"/>
      <c r="F286" s="185"/>
      <c r="G286" s="185"/>
      <c r="H286" s="185"/>
      <c r="I286" s="185"/>
      <c r="J286" s="185"/>
    </row>
    <row r="287" spans="2:10" ht="15.75" x14ac:dyDescent="0.25">
      <c r="B287" s="185" t="s">
        <v>503</v>
      </c>
      <c r="C287" s="185"/>
      <c r="D287" s="185"/>
      <c r="E287" s="185"/>
      <c r="F287" s="185"/>
      <c r="G287" s="185"/>
      <c r="H287" s="185"/>
      <c r="I287" s="185"/>
      <c r="J287" s="185"/>
    </row>
    <row r="288" spans="2:10" ht="15.75" x14ac:dyDescent="0.25">
      <c r="B288" s="185" t="s">
        <v>499</v>
      </c>
      <c r="C288" s="185"/>
      <c r="D288" s="185"/>
      <c r="E288" s="185"/>
      <c r="F288" s="185"/>
      <c r="G288" s="185"/>
      <c r="H288" s="185"/>
      <c r="I288" s="185"/>
      <c r="J288" s="185"/>
    </row>
    <row r="289" spans="2:10" ht="15.75" x14ac:dyDescent="0.25">
      <c r="B289" s="185"/>
      <c r="C289" s="185"/>
      <c r="D289" s="185"/>
      <c r="E289" s="185"/>
      <c r="F289" s="185"/>
      <c r="G289" s="185"/>
      <c r="H289" s="185"/>
      <c r="I289" s="185"/>
      <c r="J289" s="185"/>
    </row>
    <row r="290" spans="2:10" ht="15.75" x14ac:dyDescent="0.25">
      <c r="B290" s="185" t="s">
        <v>505</v>
      </c>
      <c r="C290" s="185"/>
      <c r="D290" s="185"/>
      <c r="E290" s="185"/>
      <c r="F290" s="185"/>
      <c r="G290" s="185"/>
      <c r="H290" s="185"/>
      <c r="I290" s="185"/>
      <c r="J290" s="185"/>
    </row>
    <row r="291" spans="2:10" ht="15.75" x14ac:dyDescent="0.25">
      <c r="B291" s="185" t="s">
        <v>504</v>
      </c>
      <c r="C291" s="185"/>
      <c r="D291" s="185"/>
      <c r="E291" s="185"/>
      <c r="F291" s="185"/>
      <c r="G291" s="185"/>
      <c r="H291" s="185"/>
      <c r="I291" s="185"/>
      <c r="J291" s="185"/>
    </row>
    <row r="292" spans="2:10" ht="15.75" x14ac:dyDescent="0.25">
      <c r="B292" s="185"/>
      <c r="C292" s="185"/>
      <c r="D292" s="185"/>
      <c r="E292" s="185"/>
      <c r="F292" s="185"/>
      <c r="G292" s="185"/>
      <c r="H292" s="185"/>
      <c r="I292" s="185"/>
      <c r="J292" s="185"/>
    </row>
    <row r="293" spans="2:10" ht="15.75" x14ac:dyDescent="0.25">
      <c r="B293" s="185" t="s">
        <v>507</v>
      </c>
      <c r="C293" s="185"/>
      <c r="D293" s="185"/>
      <c r="E293" s="185"/>
      <c r="F293" s="185"/>
      <c r="G293" s="185"/>
      <c r="H293" s="185"/>
      <c r="I293" s="185"/>
      <c r="J293" s="185"/>
    </row>
    <row r="294" spans="2:10" ht="15.75" x14ac:dyDescent="0.25">
      <c r="B294" s="185" t="s">
        <v>506</v>
      </c>
      <c r="C294" s="185"/>
      <c r="D294" s="185"/>
      <c r="E294" s="185"/>
      <c r="F294" s="185"/>
      <c r="G294" s="185"/>
      <c r="H294" s="185"/>
      <c r="I294" s="185"/>
      <c r="J294" s="185"/>
    </row>
    <row r="295" spans="2:10" ht="15.75" x14ac:dyDescent="0.25">
      <c r="B295" s="185"/>
      <c r="C295" s="185"/>
      <c r="D295" s="185"/>
      <c r="E295" s="185"/>
      <c r="F295" s="185"/>
      <c r="G295" s="185"/>
      <c r="H295" s="185"/>
      <c r="I295" s="185"/>
      <c r="J295" s="185"/>
    </row>
    <row r="296" spans="2:10" ht="15.75" x14ac:dyDescent="0.25">
      <c r="B296" s="185" t="s">
        <v>509</v>
      </c>
      <c r="C296" s="185"/>
      <c r="D296" s="185"/>
      <c r="E296" s="185"/>
      <c r="F296" s="185"/>
      <c r="G296" s="185"/>
      <c r="H296" s="185"/>
      <c r="I296" s="185"/>
      <c r="J296" s="185"/>
    </row>
    <row r="297" spans="2:10" ht="15.75" x14ac:dyDescent="0.25">
      <c r="B297" s="185" t="s">
        <v>508</v>
      </c>
      <c r="C297" s="185"/>
      <c r="D297" s="185"/>
      <c r="E297" s="185"/>
      <c r="F297" s="185"/>
      <c r="G297" s="185"/>
      <c r="H297" s="185"/>
      <c r="I297" s="185"/>
      <c r="J297" s="185"/>
    </row>
    <row r="298" spans="2:10" ht="15.75" x14ac:dyDescent="0.25">
      <c r="B298" s="185"/>
      <c r="C298" s="185"/>
      <c r="D298" s="185"/>
      <c r="E298" s="185"/>
      <c r="F298" s="185"/>
      <c r="G298" s="185"/>
      <c r="H298" s="185"/>
      <c r="I298" s="185"/>
      <c r="J298" s="185"/>
    </row>
    <row r="299" spans="2:10" ht="15.75" x14ac:dyDescent="0.25">
      <c r="B299" s="185"/>
      <c r="C299" s="185"/>
      <c r="D299" s="185"/>
      <c r="E299" s="185"/>
      <c r="F299" s="185"/>
      <c r="G299" s="185"/>
      <c r="H299" s="185"/>
      <c r="I299" s="185"/>
      <c r="J299" s="185"/>
    </row>
    <row r="300" spans="2:10" ht="15.75" x14ac:dyDescent="0.25">
      <c r="B300" s="184" t="s">
        <v>510</v>
      </c>
      <c r="C300" s="185"/>
      <c r="D300" s="185"/>
      <c r="E300" s="185"/>
      <c r="F300" s="185"/>
      <c r="G300" s="185"/>
      <c r="H300" s="185"/>
      <c r="I300" s="185"/>
      <c r="J300" s="185"/>
    </row>
    <row r="301" spans="2:10" ht="15.75" x14ac:dyDescent="0.25">
      <c r="B301" s="185"/>
      <c r="C301" s="185"/>
      <c r="D301" s="185"/>
      <c r="E301" s="185"/>
      <c r="F301" s="185"/>
      <c r="G301" s="185"/>
      <c r="H301" s="185"/>
      <c r="I301" s="185"/>
      <c r="J301" s="185"/>
    </row>
    <row r="302" spans="2:10" ht="15.75" x14ac:dyDescent="0.25">
      <c r="B302" s="185" t="s">
        <v>512</v>
      </c>
      <c r="C302" s="185"/>
      <c r="D302" s="185"/>
      <c r="E302" s="185"/>
      <c r="F302" s="185"/>
      <c r="G302" s="185"/>
      <c r="H302" s="185"/>
      <c r="I302" s="185"/>
      <c r="J302" s="185"/>
    </row>
    <row r="303" spans="2:10" ht="15.75" x14ac:dyDescent="0.25">
      <c r="B303" s="185" t="s">
        <v>511</v>
      </c>
      <c r="C303" s="185"/>
      <c r="D303" s="185"/>
      <c r="E303" s="185"/>
      <c r="F303" s="185"/>
      <c r="G303" s="185"/>
      <c r="H303" s="185"/>
      <c r="I303" s="185"/>
      <c r="J303" s="185"/>
    </row>
    <row r="304" spans="2:10" ht="15.75" x14ac:dyDescent="0.25">
      <c r="B304" s="185"/>
      <c r="C304" s="185"/>
      <c r="D304" s="185"/>
      <c r="E304" s="185"/>
      <c r="F304" s="185"/>
      <c r="G304" s="185"/>
      <c r="H304" s="185"/>
      <c r="I304" s="185"/>
      <c r="J304" s="185"/>
    </row>
    <row r="305" spans="2:10" ht="15.75" x14ac:dyDescent="0.25">
      <c r="B305" s="185"/>
      <c r="C305" s="185"/>
      <c r="D305" s="185"/>
      <c r="E305" s="185"/>
      <c r="F305" s="185"/>
      <c r="G305" s="185"/>
      <c r="H305" s="185"/>
      <c r="I305" s="185"/>
      <c r="J305" s="185"/>
    </row>
    <row r="306" spans="2:10" ht="15.75" x14ac:dyDescent="0.25">
      <c r="B306" s="184" t="s">
        <v>327</v>
      </c>
      <c r="C306" s="185"/>
      <c r="D306" s="185"/>
      <c r="E306" s="185"/>
      <c r="F306" s="185"/>
      <c r="G306" s="185"/>
      <c r="H306" s="185"/>
      <c r="I306" s="185"/>
      <c r="J306" s="185"/>
    </row>
    <row r="307" spans="2:10" ht="15.75" x14ac:dyDescent="0.25">
      <c r="B307" s="185"/>
      <c r="C307" s="185"/>
      <c r="D307" s="185"/>
      <c r="E307" s="185"/>
      <c r="F307" s="185"/>
      <c r="G307" s="185"/>
      <c r="H307" s="185"/>
      <c r="I307" s="185"/>
      <c r="J307" s="185"/>
    </row>
    <row r="308" spans="2:10" ht="15.75" x14ac:dyDescent="0.25">
      <c r="B308" s="185" t="s">
        <v>514</v>
      </c>
      <c r="C308" s="185"/>
      <c r="D308" s="185"/>
      <c r="E308" s="185"/>
      <c r="F308" s="185"/>
      <c r="G308" s="185"/>
      <c r="H308" s="185"/>
      <c r="I308" s="185"/>
      <c r="J308" s="185"/>
    </row>
    <row r="309" spans="2:10" ht="15.75" x14ac:dyDescent="0.25">
      <c r="B309" s="185" t="s">
        <v>513</v>
      </c>
      <c r="C309" s="185"/>
      <c r="D309" s="185"/>
      <c r="E309" s="185"/>
      <c r="F309" s="185"/>
      <c r="G309" s="185"/>
      <c r="H309" s="185"/>
      <c r="I309" s="185"/>
      <c r="J309" s="185"/>
    </row>
    <row r="310" spans="2:10" ht="15.75" x14ac:dyDescent="0.25">
      <c r="B310" s="185" t="s">
        <v>515</v>
      </c>
      <c r="C310" s="185"/>
      <c r="D310" s="185"/>
      <c r="E310" s="185"/>
      <c r="F310" s="185"/>
      <c r="G310" s="185"/>
      <c r="H310" s="185"/>
      <c r="I310" s="185"/>
      <c r="J310" s="185"/>
    </row>
    <row r="311" spans="2:10" ht="15.75" x14ac:dyDescent="0.25">
      <c r="B311" s="185"/>
      <c r="C311" s="185"/>
      <c r="D311" s="185"/>
      <c r="E311" s="185"/>
      <c r="F311" s="185"/>
      <c r="G311" s="185"/>
      <c r="H311" s="185"/>
      <c r="I311" s="185"/>
      <c r="J311" s="185"/>
    </row>
    <row r="312" spans="2:10" ht="15.75" x14ac:dyDescent="0.25">
      <c r="B312" s="184" t="s">
        <v>328</v>
      </c>
      <c r="C312" s="185"/>
      <c r="D312" s="185"/>
      <c r="E312" s="185"/>
      <c r="F312" s="185"/>
      <c r="G312" s="185"/>
      <c r="H312" s="185"/>
      <c r="I312" s="185"/>
      <c r="J312" s="185"/>
    </row>
    <row r="313" spans="2:10" ht="15.75" x14ac:dyDescent="0.25">
      <c r="B313" s="185"/>
      <c r="C313" s="185"/>
      <c r="D313" s="185"/>
      <c r="E313" s="185"/>
      <c r="F313" s="185"/>
      <c r="G313" s="185"/>
      <c r="H313" s="185"/>
      <c r="I313" s="185"/>
      <c r="J313" s="185"/>
    </row>
    <row r="314" spans="2:10" ht="15.75" x14ac:dyDescent="0.25">
      <c r="B314" s="185" t="s">
        <v>518</v>
      </c>
      <c r="C314" s="185"/>
      <c r="D314" s="185"/>
      <c r="E314" s="185"/>
      <c r="F314" s="185"/>
      <c r="G314" s="185"/>
      <c r="H314" s="185"/>
      <c r="I314" s="185"/>
      <c r="J314" s="185"/>
    </row>
    <row r="315" spans="2:10" ht="15.75" x14ac:dyDescent="0.25">
      <c r="B315" s="185" t="s">
        <v>517</v>
      </c>
      <c r="C315" s="185"/>
      <c r="D315" s="185"/>
      <c r="E315" s="185"/>
      <c r="F315" s="185"/>
      <c r="G315" s="185"/>
      <c r="H315" s="185"/>
      <c r="I315" s="185"/>
      <c r="J315" s="185"/>
    </row>
    <row r="316" spans="2:10" ht="15.75" x14ac:dyDescent="0.25">
      <c r="B316" s="185" t="s">
        <v>516</v>
      </c>
      <c r="C316" s="185"/>
      <c r="D316" s="185"/>
      <c r="E316" s="185"/>
      <c r="F316" s="185"/>
      <c r="G316" s="185"/>
      <c r="H316" s="185"/>
      <c r="I316" s="185"/>
      <c r="J316" s="185"/>
    </row>
    <row r="317" spans="2:10" ht="18.75" x14ac:dyDescent="0.3">
      <c r="G317" s="234"/>
    </row>
    <row r="322" spans="2:12" x14ac:dyDescent="0.25">
      <c r="B322" s="19"/>
    </row>
    <row r="324" spans="2:12" x14ac:dyDescent="0.25">
      <c r="B324" s="19"/>
    </row>
    <row r="328" spans="2:12" x14ac:dyDescent="0.25">
      <c r="B328" s="19"/>
      <c r="F328" s="122"/>
      <c r="G328" s="122"/>
      <c r="H328" s="122"/>
      <c r="I328" s="122"/>
      <c r="J328" s="115"/>
      <c r="K328" s="115"/>
      <c r="L328" s="115"/>
    </row>
    <row r="329" spans="2:12" x14ac:dyDescent="0.25">
      <c r="F329" s="3"/>
      <c r="G329" s="3"/>
      <c r="H329" s="3"/>
      <c r="I329" s="3"/>
      <c r="J329" s="155"/>
      <c r="K329" s="116"/>
      <c r="L329" s="116"/>
    </row>
    <row r="330" spans="2:12" x14ac:dyDescent="0.25">
      <c r="F330" s="3"/>
      <c r="G330" s="3"/>
      <c r="H330" s="3"/>
      <c r="I330" s="3"/>
      <c r="J330" s="155"/>
      <c r="K330" s="116"/>
      <c r="L330" s="116"/>
    </row>
    <row r="331" spans="2:12" x14ac:dyDescent="0.25">
      <c r="F331" s="3"/>
      <c r="G331" s="3"/>
      <c r="H331" s="3"/>
      <c r="I331" s="3"/>
      <c r="J331" s="155"/>
      <c r="K331" s="116"/>
      <c r="L331" s="116"/>
    </row>
    <row r="332" spans="2:12" x14ac:dyDescent="0.25">
      <c r="F332" s="3"/>
      <c r="G332" s="3"/>
      <c r="H332" s="3"/>
      <c r="I332" s="3"/>
      <c r="J332" s="155"/>
      <c r="K332" s="116"/>
      <c r="L332" s="117"/>
    </row>
    <row r="333" spans="2:12" x14ac:dyDescent="0.25">
      <c r="B333" s="77"/>
      <c r="F333" s="3"/>
      <c r="G333" s="3"/>
      <c r="H333" s="3"/>
      <c r="I333" s="3"/>
      <c r="J333" s="155"/>
      <c r="K333" s="116"/>
      <c r="L333" s="118"/>
    </row>
    <row r="334" spans="2:12" x14ac:dyDescent="0.25">
      <c r="B334" s="19"/>
      <c r="C334" s="19"/>
      <c r="D334" s="19"/>
      <c r="E334" s="19"/>
      <c r="F334" s="132"/>
      <c r="G334" s="132"/>
      <c r="H334" s="132"/>
      <c r="I334" s="132"/>
      <c r="J334" s="117"/>
      <c r="K334" s="117"/>
      <c r="L334" s="117"/>
    </row>
    <row r="337" spans="2:12" x14ac:dyDescent="0.25">
      <c r="B337" s="19"/>
    </row>
    <row r="338" spans="2:12" x14ac:dyDescent="0.25">
      <c r="B338" s="19"/>
    </row>
    <row r="340" spans="2:12" x14ac:dyDescent="0.25">
      <c r="J340" s="20"/>
    </row>
    <row r="341" spans="2:12" x14ac:dyDescent="0.25">
      <c r="B341" s="19"/>
    </row>
    <row r="343" spans="2:12" x14ac:dyDescent="0.25">
      <c r="B343" s="19"/>
    </row>
    <row r="345" spans="2:12" x14ac:dyDescent="0.25">
      <c r="B345" s="19"/>
      <c r="F345" s="113"/>
      <c r="G345" s="114"/>
      <c r="H345" s="114"/>
      <c r="I345" s="114"/>
      <c r="J345" s="121"/>
      <c r="K345" s="122"/>
      <c r="L345" s="122"/>
    </row>
    <row r="346" spans="2:12" x14ac:dyDescent="0.25">
      <c r="F346" s="20"/>
      <c r="G346" s="20"/>
      <c r="H346" s="3"/>
      <c r="I346" s="20"/>
      <c r="J346" s="75"/>
      <c r="K346" s="123"/>
      <c r="L346" s="123"/>
    </row>
    <row r="347" spans="2:12" x14ac:dyDescent="0.25">
      <c r="B347" s="77"/>
      <c r="F347" s="20"/>
      <c r="G347" s="20"/>
      <c r="H347" s="3"/>
      <c r="I347" s="20"/>
      <c r="J347" s="75"/>
      <c r="K347" s="123"/>
      <c r="L347" s="123"/>
    </row>
    <row r="348" spans="2:12" x14ac:dyDescent="0.25">
      <c r="F348" s="20"/>
      <c r="G348" s="20"/>
      <c r="H348" s="8"/>
      <c r="I348" s="20"/>
      <c r="J348" s="75"/>
      <c r="K348" s="123"/>
      <c r="L348" s="123"/>
    </row>
    <row r="349" spans="2:12" x14ac:dyDescent="0.25">
      <c r="B349" s="19"/>
      <c r="F349" s="119"/>
      <c r="G349" s="120"/>
      <c r="H349" s="120"/>
      <c r="I349" s="120"/>
      <c r="J349" s="124"/>
      <c r="K349" s="125"/>
      <c r="L349" s="125"/>
    </row>
    <row r="350" spans="2:12" x14ac:dyDescent="0.25">
      <c r="H350" s="20"/>
      <c r="J350" s="20"/>
      <c r="K350" s="20"/>
      <c r="L350" s="20"/>
    </row>
    <row r="351" spans="2:12" x14ac:dyDescent="0.25">
      <c r="H351" s="20"/>
      <c r="J351" s="20"/>
      <c r="K351" s="20"/>
      <c r="L351" s="20"/>
    </row>
    <row r="352" spans="2:12" x14ac:dyDescent="0.25">
      <c r="H352" s="20"/>
    </row>
    <row r="355" spans="2:12" x14ac:dyDescent="0.25">
      <c r="B355" s="19"/>
    </row>
    <row r="356" spans="2:12" x14ac:dyDescent="0.25">
      <c r="B356" s="19"/>
    </row>
    <row r="358" spans="2:12" x14ac:dyDescent="0.25">
      <c r="B358" s="19"/>
    </row>
    <row r="359" spans="2:12" x14ac:dyDescent="0.25">
      <c r="F359" s="113"/>
      <c r="G359" s="114"/>
      <c r="H359" s="114"/>
      <c r="I359" s="114"/>
      <c r="J359" s="121"/>
      <c r="K359" s="122"/>
      <c r="L359" s="122"/>
    </row>
    <row r="360" spans="2:12" x14ac:dyDescent="0.25">
      <c r="B360" s="126"/>
      <c r="F360" s="3"/>
      <c r="G360" s="3"/>
      <c r="H360" s="8"/>
      <c r="I360" s="145"/>
      <c r="J360" s="75"/>
      <c r="K360" s="123"/>
      <c r="L360" s="123"/>
    </row>
    <row r="361" spans="2:12" x14ac:dyDescent="0.25">
      <c r="B361" s="126"/>
      <c r="F361" s="3"/>
      <c r="G361" s="3"/>
      <c r="H361" s="8"/>
      <c r="I361" s="145"/>
      <c r="J361" s="75"/>
      <c r="K361" s="123"/>
      <c r="L361" s="123"/>
    </row>
    <row r="362" spans="2:12" x14ac:dyDescent="0.25">
      <c r="B362" s="126"/>
      <c r="F362" s="3"/>
      <c r="G362" s="3"/>
      <c r="H362" s="8"/>
      <c r="I362" s="145"/>
      <c r="J362" s="75"/>
      <c r="K362" s="123"/>
      <c r="L362" s="123"/>
    </row>
    <row r="363" spans="2:12" x14ac:dyDescent="0.25">
      <c r="B363" s="126"/>
      <c r="F363" s="3"/>
      <c r="G363" s="3"/>
      <c r="H363" s="8"/>
      <c r="I363" s="145"/>
      <c r="J363" s="75"/>
      <c r="K363" s="123"/>
      <c r="L363" s="123"/>
    </row>
    <row r="364" spans="2:12" x14ac:dyDescent="0.25">
      <c r="B364" s="126"/>
      <c r="F364" s="3"/>
      <c r="G364" s="3"/>
      <c r="H364" s="8"/>
      <c r="I364" s="145"/>
      <c r="J364" s="75"/>
      <c r="K364" s="123"/>
      <c r="L364" s="123"/>
    </row>
    <row r="365" spans="2:12" x14ac:dyDescent="0.25">
      <c r="B365" s="126"/>
      <c r="F365" s="3"/>
      <c r="G365" s="3"/>
      <c r="H365" s="8"/>
      <c r="I365" s="145"/>
      <c r="J365" s="75"/>
      <c r="K365" s="123"/>
      <c r="L365" s="123"/>
    </row>
    <row r="366" spans="2:12" x14ac:dyDescent="0.25">
      <c r="B366" s="126"/>
      <c r="F366" s="3"/>
      <c r="G366" s="3"/>
      <c r="H366" s="8"/>
      <c r="I366" s="145"/>
      <c r="J366" s="75"/>
      <c r="K366" s="123"/>
      <c r="L366" s="123"/>
    </row>
    <row r="367" spans="2:12" x14ac:dyDescent="0.25">
      <c r="B367" s="126"/>
      <c r="F367" s="3"/>
      <c r="G367" s="3"/>
      <c r="H367" s="8"/>
      <c r="I367" s="145"/>
      <c r="J367" s="75"/>
      <c r="K367" s="123"/>
      <c r="L367" s="123"/>
    </row>
    <row r="368" spans="2:12" x14ac:dyDescent="0.25">
      <c r="B368" s="126"/>
      <c r="F368" s="3"/>
      <c r="G368" s="3"/>
      <c r="H368" s="8"/>
      <c r="I368" s="145"/>
      <c r="J368" s="75"/>
      <c r="K368" s="123"/>
      <c r="L368" s="123"/>
    </row>
    <row r="369" spans="2:12" x14ac:dyDescent="0.25">
      <c r="B369" s="126"/>
      <c r="F369" s="3"/>
      <c r="G369" s="3"/>
      <c r="H369" s="8"/>
      <c r="I369" s="145"/>
      <c r="J369" s="75"/>
      <c r="K369" s="123"/>
      <c r="L369" s="123"/>
    </row>
    <row r="370" spans="2:12" x14ac:dyDescent="0.25">
      <c r="B370" s="126"/>
      <c r="F370" s="3"/>
      <c r="G370" s="3"/>
      <c r="H370" s="8"/>
      <c r="I370" s="145"/>
      <c r="J370" s="75"/>
      <c r="K370" s="123"/>
      <c r="L370" s="123"/>
    </row>
    <row r="371" spans="2:12" x14ac:dyDescent="0.25">
      <c r="B371" s="1"/>
      <c r="F371" s="3"/>
      <c r="G371" s="3"/>
      <c r="H371" s="3"/>
      <c r="I371" s="145"/>
      <c r="J371" s="75"/>
      <c r="K371" s="123"/>
      <c r="L371" s="123"/>
    </row>
    <row r="372" spans="2:12" x14ac:dyDescent="0.25">
      <c r="B372" s="126"/>
      <c r="F372" s="3"/>
      <c r="G372" s="3"/>
      <c r="H372" s="8"/>
      <c r="I372" s="145"/>
      <c r="J372" s="75"/>
      <c r="K372" s="123"/>
      <c r="L372" s="123"/>
    </row>
    <row r="373" spans="2:12" x14ac:dyDescent="0.25">
      <c r="B373" s="1"/>
      <c r="F373" s="3"/>
      <c r="G373" s="3"/>
      <c r="H373" s="3"/>
      <c r="I373" s="145"/>
      <c r="J373" s="75"/>
      <c r="K373" s="123"/>
      <c r="L373" s="123"/>
    </row>
    <row r="374" spans="2:12" x14ac:dyDescent="0.25">
      <c r="B374" s="1"/>
      <c r="F374" s="3"/>
      <c r="G374" s="3"/>
      <c r="H374" s="3"/>
      <c r="I374" s="145"/>
      <c r="J374" s="75"/>
      <c r="K374" s="123"/>
      <c r="L374" s="123"/>
    </row>
    <row r="375" spans="2:12" x14ac:dyDescent="0.25">
      <c r="B375" s="126"/>
      <c r="F375" s="3"/>
      <c r="G375" s="3"/>
      <c r="H375" s="8"/>
      <c r="I375" s="145"/>
      <c r="J375" s="75"/>
      <c r="K375" s="123"/>
      <c r="L375" s="123"/>
    </row>
    <row r="376" spans="2:12" x14ac:dyDescent="0.25">
      <c r="B376" s="126"/>
      <c r="F376" s="3"/>
      <c r="G376" s="3"/>
      <c r="H376" s="8"/>
      <c r="I376" s="145"/>
      <c r="J376" s="75"/>
      <c r="K376" s="123"/>
      <c r="L376" s="123"/>
    </row>
    <row r="377" spans="2:12" x14ac:dyDescent="0.25">
      <c r="B377" s="126"/>
      <c r="F377" s="3"/>
      <c r="G377" s="3"/>
      <c r="H377" s="8"/>
      <c r="I377" s="145"/>
      <c r="J377" s="75"/>
      <c r="K377" s="123"/>
      <c r="L377" s="123"/>
    </row>
    <row r="378" spans="2:12" x14ac:dyDescent="0.25">
      <c r="B378" s="126"/>
      <c r="F378" s="3"/>
      <c r="G378" s="3"/>
      <c r="H378" s="8"/>
      <c r="I378" s="145"/>
      <c r="J378" s="75"/>
      <c r="K378" s="123"/>
      <c r="L378" s="123"/>
    </row>
    <row r="379" spans="2:12" x14ac:dyDescent="0.25">
      <c r="B379" s="126"/>
      <c r="F379" s="3"/>
      <c r="G379" s="3"/>
      <c r="H379" s="8"/>
      <c r="I379" s="145"/>
      <c r="J379" s="75"/>
      <c r="K379" s="123"/>
      <c r="L379" s="123"/>
    </row>
    <row r="380" spans="2:12" x14ac:dyDescent="0.25">
      <c r="B380" s="126"/>
      <c r="F380" s="3"/>
      <c r="G380" s="3"/>
      <c r="H380" s="8"/>
      <c r="I380" s="145"/>
      <c r="J380" s="75"/>
      <c r="K380" s="123"/>
      <c r="L380" s="123"/>
    </row>
    <row r="381" spans="2:12" x14ac:dyDescent="0.25">
      <c r="B381" s="126"/>
      <c r="F381" s="3"/>
      <c r="G381" s="3"/>
      <c r="H381" s="8"/>
      <c r="I381" s="145"/>
      <c r="J381" s="75"/>
      <c r="K381" s="123"/>
      <c r="L381" s="123"/>
    </row>
    <row r="382" spans="2:12" x14ac:dyDescent="0.25">
      <c r="B382" s="126"/>
      <c r="F382" s="34"/>
      <c r="G382" s="34"/>
      <c r="H382" s="8"/>
      <c r="I382" s="145"/>
      <c r="J382" s="75"/>
      <c r="K382" s="123"/>
      <c r="L382" s="125"/>
    </row>
    <row r="383" spans="2:12" x14ac:dyDescent="0.25">
      <c r="B383" s="6"/>
      <c r="F383" s="128"/>
      <c r="G383" s="128"/>
      <c r="H383" s="128"/>
      <c r="I383" s="129"/>
      <c r="J383" s="144"/>
      <c r="K383" s="125"/>
      <c r="L383" s="112"/>
    </row>
    <row r="385" spans="1:12" x14ac:dyDescent="0.25">
      <c r="B385" s="6"/>
    </row>
    <row r="386" spans="1:12" x14ac:dyDescent="0.25">
      <c r="B386" s="6"/>
    </row>
    <row r="387" spans="1:12" x14ac:dyDescent="0.25">
      <c r="B387" s="19"/>
    </row>
    <row r="388" spans="1:12" x14ac:dyDescent="0.25">
      <c r="B388" s="19"/>
    </row>
    <row r="391" spans="1:12" x14ac:dyDescent="0.25">
      <c r="B391" s="19"/>
    </row>
    <row r="393" spans="1:12" x14ac:dyDescent="0.25">
      <c r="B393" s="19"/>
      <c r="C393" s="19"/>
      <c r="D393" s="19"/>
      <c r="E393" s="19"/>
      <c r="F393" s="19"/>
      <c r="G393" s="19"/>
      <c r="H393" s="19"/>
      <c r="I393" s="19"/>
      <c r="J393" s="19"/>
    </row>
    <row r="394" spans="1:12" x14ac:dyDescent="0.25">
      <c r="B394" s="19"/>
      <c r="C394" s="19"/>
      <c r="D394" s="19"/>
      <c r="E394" s="19"/>
      <c r="F394" s="19"/>
      <c r="G394" s="19"/>
      <c r="H394" s="19"/>
      <c r="I394" s="19"/>
      <c r="J394" s="19"/>
    </row>
    <row r="396" spans="1:12" x14ac:dyDescent="0.25">
      <c r="B396" s="19"/>
      <c r="F396" s="113"/>
      <c r="G396" s="114"/>
      <c r="H396" s="114"/>
      <c r="I396" s="114"/>
      <c r="J396" s="121"/>
      <c r="K396" s="122"/>
      <c r="L396" s="122"/>
    </row>
    <row r="397" spans="1:12" x14ac:dyDescent="0.25">
      <c r="B397" s="126"/>
      <c r="F397" s="3"/>
      <c r="G397" s="3"/>
      <c r="H397" s="3"/>
      <c r="I397" s="3"/>
      <c r="J397" s="75"/>
      <c r="K397" s="123"/>
      <c r="L397" s="123"/>
    </row>
    <row r="398" spans="1:12" x14ac:dyDescent="0.25">
      <c r="B398" s="126"/>
      <c r="F398" s="3"/>
      <c r="G398" s="3"/>
      <c r="H398" s="8"/>
      <c r="I398" s="3"/>
      <c r="J398" s="75"/>
      <c r="K398" s="123"/>
      <c r="L398" s="123"/>
    </row>
    <row r="399" spans="1:12" x14ac:dyDescent="0.25">
      <c r="A399" s="19"/>
      <c r="B399" s="126"/>
      <c r="F399" s="3"/>
      <c r="G399" s="3"/>
      <c r="H399" s="8"/>
      <c r="I399" s="3"/>
      <c r="J399" s="75"/>
      <c r="K399" s="123"/>
      <c r="L399" s="123"/>
    </row>
    <row r="400" spans="1:12" x14ac:dyDescent="0.25">
      <c r="B400" s="126"/>
      <c r="F400" s="3"/>
      <c r="G400" s="3"/>
      <c r="H400" s="8"/>
      <c r="I400" s="3"/>
      <c r="J400" s="75"/>
      <c r="K400" s="123"/>
      <c r="L400" s="123"/>
    </row>
    <row r="401" spans="2:12" x14ac:dyDescent="0.25">
      <c r="B401" s="126"/>
      <c r="F401" s="3"/>
      <c r="G401" s="3"/>
      <c r="H401" s="8"/>
      <c r="I401" s="3"/>
      <c r="J401" s="75"/>
      <c r="K401" s="123"/>
      <c r="L401" s="123"/>
    </row>
    <row r="402" spans="2:12" x14ac:dyDescent="0.25">
      <c r="B402" s="126"/>
      <c r="F402" s="3"/>
      <c r="G402" s="3"/>
      <c r="H402" s="8"/>
      <c r="I402" s="3"/>
      <c r="J402" s="75"/>
      <c r="K402" s="123"/>
      <c r="L402" s="123"/>
    </row>
    <row r="403" spans="2:12" x14ac:dyDescent="0.25">
      <c r="B403" s="1"/>
      <c r="F403" s="3"/>
      <c r="G403" s="3"/>
      <c r="H403" s="8"/>
      <c r="I403" s="3"/>
      <c r="J403" s="75"/>
      <c r="K403" s="123"/>
      <c r="L403" s="123"/>
    </row>
    <row r="404" spans="2:12" x14ac:dyDescent="0.25">
      <c r="B404" s="1"/>
      <c r="F404" s="3"/>
      <c r="G404" s="3"/>
      <c r="H404" s="8"/>
      <c r="I404" s="3"/>
      <c r="J404" s="75"/>
      <c r="K404" s="125"/>
      <c r="L404" s="125"/>
    </row>
    <row r="405" spans="2:12" x14ac:dyDescent="0.25">
      <c r="B405" s="1"/>
      <c r="F405" s="3"/>
      <c r="G405" s="3"/>
      <c r="H405" s="8"/>
      <c r="I405" s="3"/>
      <c r="J405" s="75"/>
    </row>
    <row r="406" spans="2:12" x14ac:dyDescent="0.25">
      <c r="B406" s="126"/>
      <c r="F406" s="3"/>
      <c r="G406" s="3"/>
      <c r="H406" s="8"/>
      <c r="I406" s="3"/>
      <c r="J406" s="75"/>
    </row>
    <row r="407" spans="2:12" x14ac:dyDescent="0.25">
      <c r="B407" s="6"/>
      <c r="F407" s="139"/>
      <c r="G407" s="139"/>
      <c r="H407" s="139"/>
      <c r="I407" s="140"/>
      <c r="J407" s="137"/>
    </row>
    <row r="409" spans="2:12" x14ac:dyDescent="0.25">
      <c r="B409" s="19"/>
      <c r="F409" s="105"/>
      <c r="G409" s="105"/>
    </row>
    <row r="411" spans="2:12" x14ac:dyDescent="0.25">
      <c r="B411" s="19"/>
    </row>
    <row r="412" spans="2:12" x14ac:dyDescent="0.25">
      <c r="B412" s="19"/>
    </row>
    <row r="413" spans="2:12" x14ac:dyDescent="0.25">
      <c r="B413" s="19"/>
    </row>
    <row r="414" spans="2:12" x14ac:dyDescent="0.25">
      <c r="I414" s="122"/>
    </row>
    <row r="415" spans="2:12" x14ac:dyDescent="0.25">
      <c r="B415" s="19"/>
      <c r="F415" s="113"/>
      <c r="G415" s="114"/>
      <c r="H415" s="114"/>
      <c r="I415" s="114"/>
      <c r="J415" s="121"/>
      <c r="K415" s="122"/>
      <c r="L415" s="122"/>
    </row>
    <row r="416" spans="2:12" x14ac:dyDescent="0.25">
      <c r="B416" s="1"/>
      <c r="F416" s="3"/>
      <c r="G416" s="3"/>
      <c r="H416" s="3"/>
      <c r="I416" s="40"/>
      <c r="J416" s="57"/>
      <c r="K416" s="123"/>
      <c r="L416" s="123"/>
    </row>
    <row r="417" spans="2:12" x14ac:dyDescent="0.25">
      <c r="B417" s="1"/>
      <c r="F417" s="3"/>
      <c r="G417" s="3"/>
      <c r="H417" s="3"/>
      <c r="I417" s="3"/>
      <c r="J417" s="57"/>
      <c r="K417" s="123"/>
      <c r="L417" s="123"/>
    </row>
    <row r="418" spans="2:12" x14ac:dyDescent="0.25">
      <c r="B418" s="19"/>
      <c r="F418" s="119"/>
      <c r="G418" s="120"/>
      <c r="H418" s="128"/>
      <c r="I418" s="128"/>
      <c r="J418" s="143"/>
      <c r="K418" s="125"/>
      <c r="L418" s="125"/>
    </row>
    <row r="422" spans="2:12" x14ac:dyDescent="0.25">
      <c r="B422" s="170"/>
      <c r="C422" s="171"/>
      <c r="D422" s="171"/>
      <c r="E422" s="171"/>
      <c r="F422" s="171"/>
      <c r="G422" s="171"/>
      <c r="H422" s="171"/>
      <c r="I422" s="171"/>
      <c r="J422" s="171"/>
    </row>
    <row r="423" spans="2:12" x14ac:dyDescent="0.25">
      <c r="B423" s="170"/>
      <c r="C423" s="171"/>
      <c r="D423" s="171"/>
      <c r="E423" s="171"/>
      <c r="F423" s="171"/>
      <c r="G423" s="171"/>
      <c r="H423" s="171"/>
      <c r="I423" s="171"/>
      <c r="J423" s="171"/>
    </row>
    <row r="424" spans="2:12" x14ac:dyDescent="0.25">
      <c r="B424" s="171"/>
      <c r="C424" s="171"/>
      <c r="D424" s="171"/>
      <c r="E424" s="171"/>
      <c r="F424" s="171"/>
      <c r="G424" s="171"/>
      <c r="H424" s="171"/>
      <c r="I424" s="171"/>
      <c r="J424" s="171"/>
    </row>
    <row r="425" spans="2:12" x14ac:dyDescent="0.25">
      <c r="B425" s="171"/>
      <c r="C425" s="171"/>
      <c r="D425" s="171"/>
      <c r="E425" s="171"/>
      <c r="F425" s="171"/>
      <c r="G425" s="171"/>
      <c r="H425" s="171"/>
      <c r="I425" s="171"/>
      <c r="J425" s="171"/>
    </row>
    <row r="426" spans="2:12" x14ac:dyDescent="0.25">
      <c r="B426" s="171"/>
      <c r="C426" s="171"/>
      <c r="D426" s="171"/>
      <c r="E426" s="171"/>
      <c r="F426" s="171"/>
      <c r="G426" s="171"/>
      <c r="H426" s="171"/>
      <c r="I426" s="171"/>
      <c r="J426" s="171"/>
    </row>
    <row r="427" spans="2:12" x14ac:dyDescent="0.25">
      <c r="B427" s="171"/>
      <c r="C427" s="171"/>
      <c r="D427" s="171"/>
      <c r="E427" s="171"/>
      <c r="F427" s="171"/>
      <c r="G427" s="171"/>
      <c r="H427" s="171"/>
      <c r="I427" s="171"/>
      <c r="J427" s="171"/>
    </row>
    <row r="428" spans="2:12" x14ac:dyDescent="0.25">
      <c r="B428" s="170"/>
      <c r="C428" s="171"/>
      <c r="D428" s="171"/>
      <c r="E428" s="171"/>
      <c r="F428" s="171"/>
      <c r="G428" s="171"/>
      <c r="H428" s="171"/>
      <c r="I428" s="171"/>
      <c r="J428" s="171"/>
    </row>
    <row r="429" spans="2:12" x14ac:dyDescent="0.25">
      <c r="B429" s="170"/>
      <c r="C429" s="171"/>
      <c r="D429" s="171"/>
      <c r="E429" s="171"/>
      <c r="F429" s="172"/>
      <c r="G429" s="173"/>
      <c r="H429" s="173"/>
      <c r="I429" s="173"/>
      <c r="J429" s="174"/>
      <c r="K429" s="122"/>
      <c r="L429" s="122"/>
    </row>
    <row r="430" spans="2:12" x14ac:dyDescent="0.25">
      <c r="B430" s="181"/>
      <c r="C430" s="171"/>
      <c r="D430" s="171"/>
      <c r="E430" s="171"/>
      <c r="F430" s="176"/>
      <c r="G430" s="176"/>
      <c r="H430" s="176"/>
      <c r="I430" s="176"/>
      <c r="J430" s="182"/>
      <c r="K430" s="103"/>
      <c r="L430" s="131"/>
    </row>
    <row r="431" spans="2:12" x14ac:dyDescent="0.25">
      <c r="B431" s="181"/>
      <c r="C431" s="171"/>
      <c r="D431" s="171"/>
      <c r="E431" s="171"/>
      <c r="F431" s="176"/>
      <c r="G431" s="176"/>
      <c r="H431" s="176"/>
      <c r="I431" s="176"/>
      <c r="J431" s="182"/>
      <c r="K431" s="103"/>
      <c r="L431" s="131"/>
    </row>
    <row r="432" spans="2:12" x14ac:dyDescent="0.25">
      <c r="B432" s="181"/>
      <c r="C432" s="171"/>
      <c r="D432" s="171"/>
      <c r="E432" s="171"/>
      <c r="F432" s="176"/>
      <c r="G432" s="176"/>
      <c r="H432" s="176"/>
      <c r="I432" s="176"/>
      <c r="J432" s="182"/>
      <c r="K432" s="103"/>
      <c r="L432" s="131"/>
    </row>
    <row r="433" spans="2:12" x14ac:dyDescent="0.25">
      <c r="B433" s="181"/>
      <c r="C433" s="171"/>
      <c r="D433" s="171"/>
      <c r="E433" s="171"/>
      <c r="F433" s="176"/>
      <c r="G433" s="176"/>
      <c r="H433" s="176"/>
      <c r="I433" s="176"/>
      <c r="J433" s="182"/>
      <c r="K433" s="103"/>
      <c r="L433" s="131"/>
    </row>
    <row r="434" spans="2:12" x14ac:dyDescent="0.25">
      <c r="B434" s="177"/>
      <c r="C434" s="171"/>
      <c r="D434" s="171"/>
      <c r="E434" s="171"/>
      <c r="F434" s="188"/>
      <c r="G434" s="189"/>
      <c r="H434" s="189"/>
      <c r="I434" s="190"/>
      <c r="J434" s="180"/>
      <c r="K434" s="132"/>
      <c r="L434" s="133"/>
    </row>
    <row r="435" spans="2:12" x14ac:dyDescent="0.25">
      <c r="B435" s="171"/>
      <c r="C435" s="171"/>
      <c r="D435" s="171"/>
      <c r="E435" s="171"/>
      <c r="F435" s="171"/>
      <c r="G435" s="171"/>
      <c r="H435" s="171"/>
      <c r="I435" s="171"/>
      <c r="J435" s="69"/>
      <c r="K435" s="20"/>
      <c r="L435" s="75"/>
    </row>
    <row r="436" spans="2:12" x14ac:dyDescent="0.25">
      <c r="B436" s="171"/>
      <c r="C436" s="171"/>
      <c r="D436" s="171"/>
      <c r="E436" s="171"/>
      <c r="F436" s="171"/>
      <c r="G436" s="171"/>
      <c r="H436" s="182"/>
      <c r="I436" s="171"/>
      <c r="J436" s="171"/>
    </row>
    <row r="437" spans="2:12" x14ac:dyDescent="0.25">
      <c r="H437" s="75"/>
    </row>
    <row r="438" spans="2:12" x14ac:dyDescent="0.25">
      <c r="H438" s="75"/>
    </row>
    <row r="439" spans="2:12" x14ac:dyDescent="0.25">
      <c r="H439" s="75"/>
    </row>
    <row r="440" spans="2:12" x14ac:dyDescent="0.25">
      <c r="B440" s="19"/>
      <c r="H440" s="141"/>
    </row>
    <row r="443" spans="2:12" x14ac:dyDescent="0.25">
      <c r="B443" s="19"/>
    </row>
    <row r="444" spans="2:12" x14ac:dyDescent="0.25">
      <c r="D444" s="105"/>
      <c r="F444" s="105"/>
      <c r="G444" s="105"/>
      <c r="I444" s="105"/>
      <c r="J444" s="105"/>
    </row>
    <row r="445" spans="2:12" x14ac:dyDescent="0.25">
      <c r="B445" s="19"/>
    </row>
    <row r="447" spans="2:12" x14ac:dyDescent="0.25">
      <c r="B447" s="19"/>
    </row>
    <row r="449" spans="2:12" x14ac:dyDescent="0.25">
      <c r="B449" s="19"/>
    </row>
    <row r="452" spans="2:12" x14ac:dyDescent="0.25">
      <c r="L452" s="75"/>
    </row>
    <row r="455" spans="2:12" x14ac:dyDescent="0.25">
      <c r="B455" s="19"/>
      <c r="H455" s="112"/>
      <c r="I455" s="122"/>
      <c r="J455" s="122"/>
      <c r="K455" s="122"/>
      <c r="L455" s="122"/>
    </row>
    <row r="456" spans="2:12" x14ac:dyDescent="0.25">
      <c r="B456" s="19"/>
      <c r="F456" s="113"/>
      <c r="G456" s="113"/>
      <c r="H456" s="113"/>
      <c r="I456" s="114"/>
      <c r="J456" s="121"/>
      <c r="K456" s="147"/>
    </row>
    <row r="457" spans="2:12" x14ac:dyDescent="0.25">
      <c r="F457" s="3"/>
      <c r="G457" s="3"/>
      <c r="H457" s="3"/>
      <c r="I457" s="3"/>
      <c r="J457" s="75"/>
      <c r="K457" s="148"/>
    </row>
    <row r="458" spans="2:12" x14ac:dyDescent="0.25">
      <c r="F458" s="3"/>
      <c r="G458" s="3"/>
      <c r="H458" s="3"/>
      <c r="I458" s="3"/>
      <c r="J458" s="75"/>
      <c r="K458" s="148"/>
    </row>
    <row r="459" spans="2:12" x14ac:dyDescent="0.25">
      <c r="F459" s="3"/>
      <c r="G459" s="3"/>
      <c r="H459" s="3"/>
      <c r="I459" s="3"/>
      <c r="J459" s="75"/>
      <c r="K459" s="148"/>
    </row>
    <row r="460" spans="2:12" x14ac:dyDescent="0.25">
      <c r="B460" s="19"/>
      <c r="F460" s="119"/>
      <c r="G460" s="120"/>
      <c r="H460" s="120"/>
      <c r="I460" s="128"/>
      <c r="J460" s="124"/>
      <c r="K460" s="148"/>
    </row>
    <row r="464" spans="2:12" x14ac:dyDescent="0.25">
      <c r="B464" s="19"/>
    </row>
    <row r="465" spans="2:11" x14ac:dyDescent="0.25">
      <c r="B465" s="19"/>
    </row>
    <row r="466" spans="2:11" x14ac:dyDescent="0.25">
      <c r="B466" s="19"/>
    </row>
    <row r="467" spans="2:11" x14ac:dyDescent="0.25">
      <c r="B467" s="19"/>
    </row>
    <row r="468" spans="2:11" x14ac:dyDescent="0.25">
      <c r="B468" s="19"/>
    </row>
    <row r="469" spans="2:11" x14ac:dyDescent="0.25">
      <c r="B469" s="19"/>
    </row>
    <row r="470" spans="2:11" x14ac:dyDescent="0.25">
      <c r="B470" s="19"/>
    </row>
    <row r="471" spans="2:11" x14ac:dyDescent="0.25">
      <c r="B471" s="19"/>
      <c r="F471" s="113"/>
      <c r="G471" s="113"/>
      <c r="H471" s="113"/>
      <c r="I471" s="121"/>
      <c r="J471" s="121"/>
      <c r="K471" s="122"/>
    </row>
    <row r="472" spans="2:11" x14ac:dyDescent="0.25">
      <c r="F472" s="71"/>
      <c r="G472" s="71"/>
      <c r="H472" s="51"/>
      <c r="I472" s="51"/>
      <c r="J472" s="75"/>
      <c r="K472" s="123"/>
    </row>
    <row r="473" spans="2:11" x14ac:dyDescent="0.25">
      <c r="F473" s="71"/>
      <c r="G473" s="71"/>
      <c r="H473" s="51"/>
      <c r="I473" s="51"/>
      <c r="J473" s="75"/>
      <c r="K473" s="123"/>
    </row>
    <row r="474" spans="2:11" x14ac:dyDescent="0.25">
      <c r="F474" s="71"/>
      <c r="G474" s="71"/>
      <c r="H474" s="51"/>
      <c r="I474" s="51"/>
      <c r="J474" s="75"/>
      <c r="K474" s="123"/>
    </row>
    <row r="475" spans="2:11" x14ac:dyDescent="0.25">
      <c r="F475" s="71"/>
      <c r="G475" s="71"/>
      <c r="H475" s="51"/>
      <c r="I475" s="51"/>
      <c r="J475" s="75"/>
      <c r="K475" s="123"/>
    </row>
    <row r="476" spans="2:11" x14ac:dyDescent="0.25">
      <c r="F476" s="71"/>
      <c r="G476" s="71"/>
      <c r="H476" s="51"/>
      <c r="I476" s="51"/>
      <c r="J476" s="75"/>
      <c r="K476" s="123"/>
    </row>
    <row r="477" spans="2:11" x14ac:dyDescent="0.25">
      <c r="B477" s="19"/>
      <c r="F477" s="127"/>
      <c r="G477" s="127"/>
      <c r="H477" s="119"/>
      <c r="I477" s="119"/>
      <c r="J477" s="124"/>
      <c r="K477" s="125"/>
    </row>
    <row r="481" spans="2:11" x14ac:dyDescent="0.25">
      <c r="B481" s="19"/>
    </row>
    <row r="486" spans="2:11" x14ac:dyDescent="0.25">
      <c r="B486" s="19"/>
      <c r="F486" s="113"/>
      <c r="G486" s="114"/>
      <c r="H486" s="114"/>
      <c r="I486" s="114"/>
      <c r="J486" s="121"/>
      <c r="K486" s="122"/>
    </row>
    <row r="487" spans="2:11" x14ac:dyDescent="0.25">
      <c r="B487" s="101"/>
      <c r="F487" s="169"/>
      <c r="G487" s="169"/>
      <c r="H487" s="86"/>
      <c r="I487" s="20"/>
      <c r="J487" s="75"/>
      <c r="K487" s="146"/>
    </row>
    <row r="488" spans="2:11" x14ac:dyDescent="0.25">
      <c r="B488" s="101"/>
      <c r="F488" s="169"/>
      <c r="G488" s="169"/>
      <c r="H488" s="92"/>
      <c r="I488" s="20"/>
      <c r="J488" s="75"/>
      <c r="K488" s="103"/>
    </row>
    <row r="489" spans="2:11" x14ac:dyDescent="0.25">
      <c r="B489" s="101"/>
      <c r="F489" s="169"/>
      <c r="G489" s="169"/>
      <c r="H489" s="86"/>
      <c r="I489" s="20"/>
      <c r="J489" s="75"/>
      <c r="K489" s="103"/>
    </row>
    <row r="490" spans="2:11" x14ac:dyDescent="0.25">
      <c r="B490" s="100"/>
      <c r="F490" s="134"/>
      <c r="G490" s="135"/>
      <c r="H490" s="135"/>
      <c r="I490" s="135"/>
      <c r="J490" s="124"/>
      <c r="K490" s="125"/>
    </row>
    <row r="494" spans="2:11" x14ac:dyDescent="0.25">
      <c r="B494" s="19"/>
    </row>
    <row r="500" spans="2:11" x14ac:dyDescent="0.25">
      <c r="B500" s="19"/>
      <c r="F500" s="113"/>
      <c r="G500" s="114"/>
      <c r="H500" s="114"/>
      <c r="I500" s="114"/>
      <c r="J500" s="121"/>
      <c r="K500" s="122"/>
    </row>
    <row r="501" spans="2:11" x14ac:dyDescent="0.25">
      <c r="B501" s="1"/>
      <c r="F501" s="20"/>
      <c r="G501" s="20"/>
      <c r="H501" s="3"/>
      <c r="I501" s="136"/>
      <c r="J501" s="75"/>
      <c r="K501" s="123"/>
    </row>
    <row r="502" spans="2:11" x14ac:dyDescent="0.25">
      <c r="B502" s="1"/>
      <c r="F502" s="20"/>
      <c r="G502" s="20"/>
      <c r="H502" s="3"/>
      <c r="I502" s="136"/>
      <c r="J502" s="75"/>
      <c r="K502" s="123"/>
    </row>
    <row r="503" spans="2:11" x14ac:dyDescent="0.25">
      <c r="B503" s="1"/>
      <c r="F503" s="20"/>
      <c r="G503" s="20"/>
      <c r="H503" s="3"/>
      <c r="I503" s="136"/>
      <c r="J503" s="75"/>
      <c r="K503" s="123"/>
    </row>
    <row r="504" spans="2:11" x14ac:dyDescent="0.25">
      <c r="B504" s="1"/>
      <c r="F504" s="20"/>
      <c r="G504" s="20"/>
      <c r="H504" s="3"/>
      <c r="I504" s="136"/>
      <c r="J504" s="75"/>
      <c r="K504" s="123"/>
    </row>
    <row r="505" spans="2:11" x14ac:dyDescent="0.25">
      <c r="B505" s="1"/>
      <c r="F505" s="20"/>
      <c r="G505" s="20"/>
      <c r="H505" s="3"/>
      <c r="I505" s="136"/>
      <c r="J505" s="75"/>
      <c r="K505" s="123"/>
    </row>
    <row r="506" spans="2:11" x14ac:dyDescent="0.25">
      <c r="B506" s="1"/>
      <c r="F506" s="20"/>
      <c r="G506" s="20"/>
      <c r="H506" s="51"/>
      <c r="I506" s="136"/>
      <c r="J506" s="75"/>
      <c r="K506" s="123"/>
    </row>
    <row r="507" spans="2:11" x14ac:dyDescent="0.25">
      <c r="B507" s="6"/>
      <c r="F507" s="127"/>
      <c r="G507" s="128"/>
      <c r="H507" s="120"/>
      <c r="I507" s="128"/>
      <c r="J507" s="124"/>
      <c r="K507" s="125"/>
    </row>
    <row r="512" spans="2:11" x14ac:dyDescent="0.25">
      <c r="B512" s="19"/>
      <c r="H512" s="122"/>
      <c r="I512" s="122"/>
      <c r="J512" s="122"/>
      <c r="K512" s="122"/>
    </row>
    <row r="518" spans="2:11" x14ac:dyDescent="0.25">
      <c r="B518" s="19"/>
      <c r="F518" s="113"/>
      <c r="G518" s="114"/>
      <c r="H518" s="114"/>
      <c r="I518" s="114"/>
      <c r="J518" s="121"/>
      <c r="K518" s="122"/>
    </row>
    <row r="519" spans="2:11" x14ac:dyDescent="0.25">
      <c r="F519" s="3"/>
      <c r="G519" s="3"/>
      <c r="H519" s="3"/>
      <c r="I519" s="3"/>
      <c r="J519" s="75"/>
      <c r="K519" s="123"/>
    </row>
    <row r="520" spans="2:11" x14ac:dyDescent="0.25">
      <c r="B520" s="19"/>
      <c r="F520" s="119"/>
      <c r="G520" s="120"/>
      <c r="H520" s="120"/>
      <c r="I520" s="120"/>
      <c r="J520" s="137"/>
      <c r="K520" s="123"/>
    </row>
    <row r="524" spans="2:11" x14ac:dyDescent="0.25">
      <c r="B524" s="19"/>
    </row>
    <row r="530" spans="2:11" x14ac:dyDescent="0.25">
      <c r="B530" s="19"/>
      <c r="F530" s="113"/>
      <c r="G530" s="114"/>
      <c r="H530" s="114"/>
      <c r="I530" s="114"/>
      <c r="J530" s="121"/>
      <c r="K530" s="122"/>
    </row>
    <row r="531" spans="2:11" x14ac:dyDescent="0.25">
      <c r="F531" s="18"/>
      <c r="G531" s="18"/>
      <c r="H531" s="3"/>
      <c r="I531" s="20"/>
      <c r="J531" s="75"/>
      <c r="K531" s="123"/>
    </row>
    <row r="532" spans="2:11" x14ac:dyDescent="0.25">
      <c r="F532" s="18"/>
      <c r="G532" s="18"/>
      <c r="H532" s="3"/>
      <c r="I532" s="20"/>
      <c r="J532" s="75"/>
      <c r="K532" s="123"/>
    </row>
    <row r="533" spans="2:11" x14ac:dyDescent="0.25">
      <c r="F533" s="18"/>
      <c r="G533" s="18"/>
      <c r="H533" s="3"/>
      <c r="I533" s="20"/>
      <c r="J533" s="75"/>
      <c r="K533" s="123"/>
    </row>
    <row r="534" spans="2:11" x14ac:dyDescent="0.25">
      <c r="F534" s="18"/>
      <c r="G534" s="18"/>
      <c r="H534" s="3"/>
      <c r="I534" s="20"/>
      <c r="J534" s="75"/>
      <c r="K534" s="123"/>
    </row>
    <row r="535" spans="2:11" x14ac:dyDescent="0.25">
      <c r="F535" s="18"/>
      <c r="G535" s="18"/>
      <c r="H535" s="3"/>
      <c r="I535" s="20"/>
      <c r="J535" s="75"/>
      <c r="K535" s="123"/>
    </row>
    <row r="536" spans="2:11" x14ac:dyDescent="0.25">
      <c r="F536" s="18"/>
      <c r="G536" s="18"/>
      <c r="H536" s="3"/>
      <c r="I536" s="20"/>
      <c r="J536" s="75"/>
      <c r="K536" s="123"/>
    </row>
    <row r="537" spans="2:11" x14ac:dyDescent="0.25">
      <c r="B537" s="19"/>
      <c r="F537" s="127"/>
      <c r="G537" s="127"/>
      <c r="H537" s="119"/>
      <c r="I537" s="119"/>
      <c r="J537" s="124"/>
      <c r="K537" s="125"/>
    </row>
    <row r="540" spans="2:11" x14ac:dyDescent="0.25">
      <c r="B540" s="19"/>
      <c r="H540" s="122"/>
      <c r="I540" s="122"/>
      <c r="J540" s="122"/>
      <c r="K540" s="122"/>
    </row>
    <row r="546" spans="2:11" x14ac:dyDescent="0.25">
      <c r="B546" s="19"/>
      <c r="F546" s="113"/>
      <c r="G546" s="114"/>
      <c r="H546" s="114"/>
      <c r="I546" s="114"/>
      <c r="J546" s="121"/>
      <c r="K546" s="122"/>
    </row>
    <row r="547" spans="2:11" x14ac:dyDescent="0.25">
      <c r="F547" s="20"/>
      <c r="G547" s="20"/>
      <c r="H547" s="3"/>
      <c r="I547" s="3"/>
      <c r="J547" s="75"/>
      <c r="K547" s="103"/>
    </row>
    <row r="548" spans="2:11" x14ac:dyDescent="0.25">
      <c r="F548" s="20"/>
      <c r="G548" s="20"/>
      <c r="H548" s="3"/>
      <c r="I548" s="3"/>
      <c r="J548" s="75"/>
      <c r="K548" s="103"/>
    </row>
    <row r="549" spans="2:11" x14ac:dyDescent="0.25">
      <c r="B549" s="19"/>
      <c r="F549" s="119"/>
      <c r="G549" s="120"/>
      <c r="H549" s="120"/>
      <c r="I549" s="120"/>
      <c r="J549" s="124"/>
      <c r="K549" s="125"/>
    </row>
    <row r="552" spans="2:11" x14ac:dyDescent="0.25">
      <c r="B552" s="19"/>
      <c r="H552" s="122"/>
      <c r="I552" s="122"/>
      <c r="J552" s="122"/>
      <c r="K552" s="122"/>
    </row>
    <row r="558" spans="2:11" x14ac:dyDescent="0.25">
      <c r="B558" s="19"/>
      <c r="F558" s="113"/>
      <c r="G558" s="114"/>
      <c r="H558" s="114"/>
      <c r="I558" s="114"/>
      <c r="J558" s="121"/>
      <c r="K558" s="122"/>
    </row>
    <row r="559" spans="2:11" x14ac:dyDescent="0.25">
      <c r="B559" s="77"/>
      <c r="F559" s="20"/>
      <c r="G559" s="20"/>
      <c r="H559" s="5"/>
      <c r="I559" s="138"/>
      <c r="J559" s="117"/>
      <c r="K559" s="138"/>
    </row>
    <row r="560" spans="2:11" x14ac:dyDescent="0.25">
      <c r="F560" s="20"/>
      <c r="G560" s="20"/>
      <c r="H560" s="51"/>
      <c r="I560" s="20"/>
      <c r="J560" s="75"/>
      <c r="K560" s="103"/>
    </row>
    <row r="561" spans="2:15" x14ac:dyDescent="0.25">
      <c r="F561" s="20"/>
      <c r="G561" s="20"/>
      <c r="H561" s="34"/>
      <c r="I561" s="138"/>
      <c r="J561" s="75"/>
      <c r="K561" s="103"/>
    </row>
    <row r="562" spans="2:15" x14ac:dyDescent="0.25">
      <c r="B562" s="19"/>
      <c r="F562" s="119"/>
      <c r="G562" s="120"/>
      <c r="H562" s="120"/>
      <c r="I562" s="120"/>
      <c r="J562" s="124"/>
      <c r="K562" s="125"/>
    </row>
    <row r="565" spans="2:15" x14ac:dyDescent="0.25">
      <c r="B565" s="19"/>
    </row>
    <row r="570" spans="2:15" x14ac:dyDescent="0.25">
      <c r="B570" s="19"/>
      <c r="F570" s="113"/>
      <c r="G570" s="114"/>
      <c r="H570" s="114"/>
      <c r="I570" s="114"/>
      <c r="J570" s="121"/>
      <c r="K570" s="122"/>
    </row>
    <row r="571" spans="2:15" x14ac:dyDescent="0.25">
      <c r="B571" s="1"/>
      <c r="F571" s="20"/>
      <c r="G571" s="20"/>
      <c r="H571" s="34"/>
      <c r="I571" s="3"/>
      <c r="J571" s="20"/>
      <c r="K571" s="149"/>
      <c r="O571" s="112"/>
    </row>
    <row r="572" spans="2:15" x14ac:dyDescent="0.25">
      <c r="B572" s="1"/>
      <c r="F572" s="20"/>
      <c r="G572" s="20"/>
      <c r="H572" s="3"/>
      <c r="I572" s="3"/>
      <c r="J572" s="75"/>
      <c r="K572" s="149"/>
    </row>
    <row r="573" spans="2:15" x14ac:dyDescent="0.25">
      <c r="B573" s="1"/>
      <c r="F573" s="20"/>
      <c r="G573" s="20"/>
      <c r="H573" s="3"/>
      <c r="I573" s="3"/>
      <c r="J573" s="75"/>
      <c r="K573" s="149"/>
    </row>
    <row r="574" spans="2:15" x14ac:dyDescent="0.25">
      <c r="B574" s="1"/>
      <c r="F574" s="20"/>
      <c r="G574" s="20"/>
      <c r="H574" s="3"/>
      <c r="I574" s="3"/>
      <c r="J574" s="75"/>
      <c r="K574" s="125"/>
    </row>
    <row r="575" spans="2:15" x14ac:dyDescent="0.25">
      <c r="B575" s="6"/>
      <c r="F575" s="139"/>
      <c r="G575" s="130"/>
      <c r="H575" s="130"/>
      <c r="I575" s="102"/>
      <c r="J575" s="137"/>
      <c r="K575" s="123"/>
    </row>
    <row r="577" spans="2:11" x14ac:dyDescent="0.25">
      <c r="B577" s="19"/>
    </row>
    <row r="583" spans="2:11" x14ac:dyDescent="0.25">
      <c r="B583" s="19"/>
      <c r="F583" s="113"/>
      <c r="G583" s="114"/>
      <c r="H583" s="114"/>
      <c r="I583" s="114"/>
      <c r="J583" s="121"/>
      <c r="K583" s="122"/>
    </row>
    <row r="584" spans="2:11" x14ac:dyDescent="0.25">
      <c r="B584" s="1"/>
      <c r="F584" s="18"/>
      <c r="G584" s="18"/>
      <c r="H584" s="3"/>
      <c r="I584" s="3"/>
      <c r="J584" s="75"/>
      <c r="K584" s="123"/>
    </row>
    <row r="585" spans="2:11" x14ac:dyDescent="0.25">
      <c r="B585" s="1"/>
      <c r="F585" s="18"/>
      <c r="G585" s="18"/>
      <c r="H585" s="3"/>
      <c r="I585" s="3"/>
      <c r="J585" s="75"/>
      <c r="K585" s="123"/>
    </row>
    <row r="586" spans="2:11" x14ac:dyDescent="0.25">
      <c r="B586" s="1"/>
      <c r="F586" s="18"/>
      <c r="G586" s="18"/>
      <c r="H586" s="3"/>
      <c r="I586" s="3"/>
      <c r="J586" s="75"/>
      <c r="K586" s="123"/>
    </row>
    <row r="587" spans="2:11" x14ac:dyDescent="0.25">
      <c r="B587" s="6"/>
      <c r="F587" s="127"/>
      <c r="G587" s="127"/>
      <c r="H587" s="127"/>
      <c r="I587" s="128"/>
      <c r="J587" s="124"/>
      <c r="K587" s="125"/>
    </row>
    <row r="591" spans="2:11" x14ac:dyDescent="0.25">
      <c r="B591" s="19"/>
    </row>
    <row r="597" spans="2:11" x14ac:dyDescent="0.25">
      <c r="B597" s="19"/>
      <c r="F597" s="113"/>
      <c r="G597" s="114"/>
      <c r="H597" s="114"/>
      <c r="I597" s="114"/>
      <c r="J597" s="121"/>
      <c r="K597" s="122"/>
    </row>
    <row r="598" spans="2:11" x14ac:dyDescent="0.25">
      <c r="B598" s="1"/>
      <c r="F598" s="20"/>
      <c r="G598" s="20"/>
      <c r="H598" s="20"/>
      <c r="I598" s="3"/>
      <c r="J598" s="20"/>
      <c r="K598" s="123"/>
    </row>
    <row r="599" spans="2:11" x14ac:dyDescent="0.25">
      <c r="B599" s="1"/>
      <c r="F599" s="20"/>
      <c r="G599" s="20"/>
      <c r="H599" s="20"/>
      <c r="I599" s="3"/>
      <c r="J599" s="20"/>
      <c r="K599" s="123"/>
    </row>
    <row r="600" spans="2:11" x14ac:dyDescent="0.25">
      <c r="B600" s="19"/>
      <c r="F600" s="119"/>
      <c r="G600" s="119"/>
      <c r="H600" s="119"/>
      <c r="I600" s="120"/>
      <c r="J600" s="124"/>
      <c r="K600" s="125"/>
    </row>
    <row r="601" spans="2:11" x14ac:dyDescent="0.25">
      <c r="H601" s="20"/>
      <c r="I601" s="20"/>
      <c r="J601" s="20"/>
      <c r="K601" s="20"/>
    </row>
    <row r="604" spans="2:11" x14ac:dyDescent="0.25">
      <c r="B604" s="156"/>
      <c r="C604" s="157"/>
      <c r="D604" s="157"/>
      <c r="E604" s="157"/>
      <c r="F604" s="157"/>
      <c r="G604" s="157"/>
      <c r="H604" s="157"/>
      <c r="I604" s="157"/>
      <c r="J604" s="157"/>
    </row>
    <row r="605" spans="2:11" x14ac:dyDescent="0.25">
      <c r="B605" s="157"/>
      <c r="C605" s="157"/>
      <c r="D605" s="157"/>
      <c r="E605" s="157"/>
      <c r="F605" s="157"/>
      <c r="G605" s="157"/>
      <c r="H605" s="157"/>
      <c r="I605" s="157"/>
      <c r="J605" s="157"/>
    </row>
    <row r="606" spans="2:11" x14ac:dyDescent="0.25">
      <c r="B606" s="157"/>
      <c r="C606" s="157"/>
      <c r="D606" s="157"/>
      <c r="E606" s="157"/>
      <c r="F606" s="157"/>
      <c r="G606" s="157"/>
      <c r="H606" s="157"/>
      <c r="I606" s="157"/>
      <c r="J606" s="157"/>
    </row>
    <row r="607" spans="2:11" x14ac:dyDescent="0.25">
      <c r="B607" s="157"/>
      <c r="C607" s="157"/>
      <c r="D607" s="157"/>
      <c r="E607" s="157"/>
      <c r="F607" s="157"/>
      <c r="G607" s="157"/>
      <c r="H607" s="157"/>
      <c r="I607" s="157"/>
      <c r="J607" s="157"/>
    </row>
    <row r="608" spans="2:11" x14ac:dyDescent="0.25">
      <c r="B608" s="157"/>
      <c r="C608" s="157"/>
      <c r="D608" s="157"/>
      <c r="E608" s="157"/>
      <c r="F608" s="157"/>
      <c r="G608" s="157"/>
      <c r="H608" s="157"/>
      <c r="I608" s="157"/>
      <c r="J608" s="157"/>
    </row>
    <row r="609" spans="2:11" x14ac:dyDescent="0.25">
      <c r="B609" s="157"/>
      <c r="C609" s="157"/>
      <c r="D609" s="157"/>
      <c r="E609" s="157"/>
      <c r="F609" s="157"/>
      <c r="G609" s="157"/>
      <c r="H609" s="157"/>
      <c r="I609" s="157"/>
      <c r="J609" s="157"/>
    </row>
    <row r="610" spans="2:11" x14ac:dyDescent="0.25">
      <c r="B610" s="156"/>
      <c r="C610" s="157"/>
      <c r="D610" s="157"/>
      <c r="E610" s="157"/>
      <c r="F610" s="158"/>
      <c r="G610" s="159"/>
      <c r="H610" s="159"/>
      <c r="I610" s="159"/>
      <c r="J610" s="160"/>
      <c r="K610" s="122"/>
    </row>
    <row r="611" spans="2:11" x14ac:dyDescent="0.25">
      <c r="B611" s="161"/>
      <c r="C611" s="157"/>
      <c r="D611" s="157"/>
      <c r="E611" s="157"/>
      <c r="F611" s="168"/>
      <c r="G611" s="168"/>
      <c r="H611" s="162"/>
      <c r="I611" s="162"/>
      <c r="J611" s="163"/>
      <c r="K611" s="123"/>
    </row>
    <row r="612" spans="2:11" x14ac:dyDescent="0.25">
      <c r="B612" s="161"/>
      <c r="C612" s="157"/>
      <c r="D612" s="157"/>
      <c r="E612" s="157"/>
      <c r="F612" s="168"/>
      <c r="G612" s="168"/>
      <c r="H612" s="162"/>
      <c r="I612" s="162"/>
      <c r="J612" s="163"/>
      <c r="K612" s="123"/>
    </row>
    <row r="613" spans="2:11" x14ac:dyDescent="0.25">
      <c r="B613" s="161"/>
      <c r="C613" s="157"/>
      <c r="D613" s="157"/>
      <c r="E613" s="157"/>
      <c r="F613" s="168"/>
      <c r="G613" s="168"/>
      <c r="H613" s="162"/>
      <c r="I613" s="162"/>
      <c r="J613" s="163"/>
      <c r="K613" s="123"/>
    </row>
    <row r="614" spans="2:11" x14ac:dyDescent="0.25">
      <c r="B614" s="161"/>
      <c r="C614" s="157"/>
      <c r="D614" s="157"/>
      <c r="E614" s="157"/>
      <c r="F614" s="168"/>
      <c r="G614" s="168"/>
      <c r="H614" s="162"/>
      <c r="I614" s="162"/>
      <c r="J614" s="163"/>
      <c r="K614" s="123"/>
    </row>
    <row r="615" spans="2:11" x14ac:dyDescent="0.25">
      <c r="B615" s="161"/>
      <c r="C615" s="157"/>
      <c r="D615" s="157"/>
      <c r="E615" s="157"/>
      <c r="F615" s="168"/>
      <c r="G615" s="168"/>
      <c r="H615" s="162"/>
      <c r="I615" s="162"/>
      <c r="J615" s="163"/>
      <c r="K615" s="123"/>
    </row>
    <row r="616" spans="2:11" x14ac:dyDescent="0.25">
      <c r="B616" s="161"/>
      <c r="C616" s="157"/>
      <c r="D616" s="157"/>
      <c r="E616" s="157"/>
      <c r="F616" s="168"/>
      <c r="G616" s="168"/>
      <c r="H616" s="162"/>
      <c r="I616" s="162"/>
      <c r="J616" s="163"/>
      <c r="K616" s="123"/>
    </row>
    <row r="617" spans="2:11" x14ac:dyDescent="0.25">
      <c r="B617" s="161"/>
      <c r="C617" s="157"/>
      <c r="D617" s="157"/>
      <c r="E617" s="157"/>
      <c r="F617" s="168"/>
      <c r="G617" s="168"/>
      <c r="H617" s="162"/>
      <c r="I617" s="162"/>
      <c r="J617" s="163"/>
      <c r="K617" s="123"/>
    </row>
    <row r="618" spans="2:11" x14ac:dyDescent="0.25">
      <c r="B618" s="161"/>
      <c r="C618" s="157"/>
      <c r="D618" s="157"/>
      <c r="E618" s="157"/>
      <c r="F618" s="168"/>
      <c r="G618" s="168"/>
      <c r="H618" s="162"/>
      <c r="I618" s="162"/>
      <c r="J618" s="163"/>
      <c r="K618" s="123"/>
    </row>
    <row r="619" spans="2:11" x14ac:dyDescent="0.25">
      <c r="B619" s="161"/>
      <c r="C619" s="157"/>
      <c r="D619" s="157"/>
      <c r="E619" s="157"/>
      <c r="F619" s="168"/>
      <c r="G619" s="168"/>
      <c r="H619" s="162"/>
      <c r="I619" s="162"/>
      <c r="J619" s="163"/>
      <c r="K619" s="123"/>
    </row>
    <row r="620" spans="2:11" x14ac:dyDescent="0.25">
      <c r="B620" s="161"/>
      <c r="C620" s="157"/>
      <c r="D620" s="157"/>
      <c r="E620" s="157"/>
      <c r="F620" s="168"/>
      <c r="G620" s="168"/>
      <c r="H620" s="162"/>
      <c r="I620" s="162"/>
      <c r="J620" s="163"/>
      <c r="K620" s="123"/>
    </row>
    <row r="621" spans="2:11" x14ac:dyDescent="0.25">
      <c r="B621" s="164"/>
      <c r="C621" s="157"/>
      <c r="D621" s="157"/>
      <c r="E621" s="157"/>
      <c r="F621" s="165"/>
      <c r="G621" s="165"/>
      <c r="H621" s="165"/>
      <c r="I621" s="166"/>
      <c r="J621" s="167"/>
      <c r="K621" s="125"/>
    </row>
    <row r="622" spans="2:11" x14ac:dyDescent="0.25">
      <c r="B622" s="157"/>
      <c r="C622" s="157"/>
      <c r="D622" s="157"/>
      <c r="E622" s="157"/>
      <c r="F622" s="157"/>
      <c r="G622" s="157"/>
      <c r="H622" s="157"/>
      <c r="I622" s="157"/>
      <c r="J622" s="157"/>
    </row>
    <row r="625" spans="2:11" x14ac:dyDescent="0.25">
      <c r="B625" s="170"/>
      <c r="C625" s="171"/>
      <c r="D625" s="171"/>
      <c r="E625" s="171"/>
      <c r="F625" s="171"/>
      <c r="G625" s="171"/>
      <c r="H625" s="171"/>
      <c r="I625" s="171"/>
      <c r="J625" s="171"/>
    </row>
    <row r="626" spans="2:11" x14ac:dyDescent="0.25">
      <c r="B626" s="170"/>
      <c r="C626" s="171"/>
      <c r="D626" s="171"/>
      <c r="E626" s="171"/>
      <c r="F626" s="171"/>
      <c r="G626" s="171"/>
      <c r="H626" s="171"/>
      <c r="I626" s="171"/>
      <c r="J626" s="171"/>
    </row>
    <row r="627" spans="2:11" x14ac:dyDescent="0.25">
      <c r="B627" s="170"/>
      <c r="C627" s="171"/>
      <c r="D627" s="171"/>
      <c r="E627" s="171"/>
      <c r="F627" s="171"/>
      <c r="G627" s="171"/>
      <c r="H627" s="171"/>
      <c r="I627" s="171"/>
      <c r="J627" s="171"/>
    </row>
    <row r="628" spans="2:11" x14ac:dyDescent="0.25">
      <c r="B628" s="170"/>
      <c r="C628" s="171"/>
      <c r="D628" s="171"/>
      <c r="E628" s="171"/>
      <c r="F628" s="171"/>
      <c r="G628" s="171"/>
      <c r="H628" s="171"/>
      <c r="I628" s="171"/>
      <c r="J628" s="171"/>
    </row>
    <row r="629" spans="2:11" x14ac:dyDescent="0.25">
      <c r="B629" s="170"/>
      <c r="C629" s="171"/>
      <c r="D629" s="171"/>
      <c r="E629" s="171"/>
      <c r="F629" s="171"/>
      <c r="G629" s="171"/>
      <c r="H629" s="171"/>
      <c r="I629" s="171"/>
      <c r="J629" s="171"/>
    </row>
    <row r="630" spans="2:11" x14ac:dyDescent="0.25">
      <c r="B630" s="170"/>
      <c r="C630" s="171"/>
      <c r="D630" s="171"/>
      <c r="E630" s="171"/>
      <c r="F630" s="171"/>
      <c r="G630" s="171"/>
      <c r="H630" s="171"/>
      <c r="I630" s="171"/>
      <c r="J630" s="171"/>
    </row>
    <row r="631" spans="2:11" x14ac:dyDescent="0.25">
      <c r="B631" s="170"/>
      <c r="C631" s="171"/>
      <c r="D631" s="171"/>
      <c r="E631" s="171"/>
      <c r="F631" s="172"/>
      <c r="G631" s="173"/>
      <c r="H631" s="173"/>
      <c r="I631" s="173"/>
      <c r="J631" s="174"/>
      <c r="K631" s="122"/>
    </row>
    <row r="632" spans="2:11" x14ac:dyDescent="0.25">
      <c r="B632" s="175"/>
      <c r="C632" s="171"/>
      <c r="D632" s="171"/>
      <c r="E632" s="171"/>
      <c r="F632" s="176"/>
      <c r="G632" s="176"/>
      <c r="H632" s="176"/>
      <c r="I632" s="176"/>
      <c r="J632" s="182"/>
      <c r="K632" s="123"/>
    </row>
    <row r="633" spans="2:11" x14ac:dyDescent="0.25">
      <c r="B633" s="175"/>
      <c r="C633" s="171"/>
      <c r="D633" s="171"/>
      <c r="E633" s="171"/>
      <c r="F633" s="176"/>
      <c r="G633" s="176"/>
      <c r="H633" s="176"/>
      <c r="I633" s="176"/>
      <c r="J633" s="182"/>
      <c r="K633" s="123"/>
    </row>
    <row r="634" spans="2:11" x14ac:dyDescent="0.25">
      <c r="B634" s="175"/>
      <c r="C634" s="171"/>
      <c r="D634" s="171"/>
      <c r="E634" s="171"/>
      <c r="F634" s="176"/>
      <c r="G634" s="176"/>
      <c r="H634" s="176"/>
      <c r="I634" s="176"/>
      <c r="J634" s="182"/>
      <c r="K634" s="123"/>
    </row>
    <row r="635" spans="2:11" x14ac:dyDescent="0.25">
      <c r="B635" s="175"/>
      <c r="C635" s="171"/>
      <c r="D635" s="171"/>
      <c r="E635" s="171"/>
      <c r="F635" s="176"/>
      <c r="G635" s="176"/>
      <c r="H635" s="176"/>
      <c r="I635" s="176"/>
      <c r="J635" s="182"/>
      <c r="K635" s="123"/>
    </row>
    <row r="636" spans="2:11" x14ac:dyDescent="0.25">
      <c r="B636" s="175"/>
      <c r="C636" s="171"/>
      <c r="D636" s="171"/>
      <c r="E636" s="171"/>
      <c r="F636" s="176"/>
      <c r="G636" s="176"/>
      <c r="H636" s="176"/>
      <c r="I636" s="176"/>
      <c r="J636" s="182"/>
      <c r="K636" s="123"/>
    </row>
    <row r="637" spans="2:11" x14ac:dyDescent="0.25">
      <c r="B637" s="177"/>
      <c r="C637" s="171"/>
      <c r="D637" s="171"/>
      <c r="E637" s="171"/>
      <c r="F637" s="178"/>
      <c r="G637" s="178"/>
      <c r="H637" s="178"/>
      <c r="I637" s="179"/>
      <c r="J637" s="180"/>
      <c r="K637" s="125"/>
    </row>
    <row r="638" spans="2:11" x14ac:dyDescent="0.25">
      <c r="B638" s="171"/>
      <c r="C638" s="171"/>
      <c r="D638" s="171"/>
      <c r="E638" s="171"/>
      <c r="F638" s="171"/>
      <c r="G638" s="171"/>
      <c r="H638" s="171"/>
      <c r="I638" s="171"/>
      <c r="J638" s="171"/>
    </row>
    <row r="639" spans="2:11" x14ac:dyDescent="0.25">
      <c r="B639" s="171"/>
      <c r="C639" s="171"/>
      <c r="D639" s="171"/>
      <c r="E639" s="171"/>
      <c r="F639" s="171"/>
      <c r="G639" s="171"/>
      <c r="H639" s="171"/>
      <c r="I639" s="171"/>
      <c r="J639" s="171"/>
    </row>
    <row r="640" spans="2:11" x14ac:dyDescent="0.25">
      <c r="B640" s="171"/>
      <c r="C640" s="171"/>
      <c r="D640" s="171"/>
      <c r="E640" s="171"/>
      <c r="F640" s="171"/>
      <c r="G640" s="171"/>
      <c r="H640" s="171"/>
      <c r="I640" s="171"/>
      <c r="J640" s="171"/>
    </row>
    <row r="641" spans="2:11" x14ac:dyDescent="0.25">
      <c r="B641" s="170"/>
      <c r="C641" s="171"/>
      <c r="D641" s="171"/>
      <c r="E641" s="171"/>
      <c r="F641" s="171"/>
      <c r="G641" s="171"/>
      <c r="H641" s="171"/>
      <c r="I641" s="171"/>
      <c r="J641" s="171"/>
    </row>
    <row r="642" spans="2:11" x14ac:dyDescent="0.25">
      <c r="B642" s="171"/>
      <c r="C642" s="171"/>
      <c r="D642" s="171"/>
      <c r="E642" s="171"/>
      <c r="F642" s="171"/>
      <c r="G642" s="171"/>
      <c r="H642" s="171"/>
      <c r="I642" s="171"/>
      <c r="J642" s="171"/>
    </row>
    <row r="643" spans="2:11" x14ac:dyDescent="0.25">
      <c r="B643" s="171"/>
      <c r="C643" s="171"/>
      <c r="D643" s="171"/>
      <c r="E643" s="171"/>
      <c r="F643" s="171"/>
      <c r="G643" s="171"/>
      <c r="H643" s="171"/>
      <c r="I643" s="171"/>
      <c r="J643" s="171"/>
    </row>
    <row r="644" spans="2:11" x14ac:dyDescent="0.25">
      <c r="B644" s="171"/>
      <c r="C644" s="171"/>
      <c r="D644" s="171"/>
      <c r="E644" s="171"/>
      <c r="F644" s="171"/>
      <c r="G644" s="171"/>
      <c r="H644" s="171"/>
      <c r="I644" s="171"/>
      <c r="J644" s="171"/>
    </row>
    <row r="645" spans="2:11" x14ac:dyDescent="0.25">
      <c r="B645" s="171"/>
      <c r="C645" s="171"/>
      <c r="D645" s="171"/>
      <c r="E645" s="171"/>
      <c r="F645" s="171"/>
      <c r="G645" s="171"/>
      <c r="H645" s="171"/>
      <c r="I645" s="171"/>
      <c r="J645" s="171"/>
    </row>
    <row r="646" spans="2:11" x14ac:dyDescent="0.25">
      <c r="B646" s="171"/>
      <c r="C646" s="171"/>
      <c r="D646" s="171"/>
      <c r="E646" s="171"/>
      <c r="F646" s="171"/>
      <c r="G646" s="171"/>
      <c r="H646" s="171"/>
      <c r="I646" s="171"/>
      <c r="J646" s="171"/>
    </row>
    <row r="647" spans="2:11" x14ac:dyDescent="0.25">
      <c r="B647" s="170"/>
      <c r="C647" s="171"/>
      <c r="D647" s="171"/>
      <c r="E647" s="171"/>
      <c r="F647" s="172"/>
      <c r="G647" s="173"/>
      <c r="H647" s="173"/>
      <c r="I647" s="173"/>
      <c r="J647" s="174"/>
      <c r="K647" s="122"/>
    </row>
    <row r="648" spans="2:11" x14ac:dyDescent="0.25">
      <c r="B648" s="181"/>
      <c r="C648" s="171"/>
      <c r="D648" s="171"/>
      <c r="E648" s="171"/>
      <c r="F648" s="69"/>
      <c r="G648" s="69"/>
      <c r="H648" s="3"/>
      <c r="I648" s="176"/>
      <c r="J648" s="182"/>
      <c r="K648" s="123"/>
    </row>
    <row r="649" spans="2:11" x14ac:dyDescent="0.25">
      <c r="B649" s="181"/>
      <c r="C649" s="171"/>
      <c r="D649" s="171"/>
      <c r="E649" s="171"/>
      <c r="F649" s="69"/>
      <c r="G649" s="69"/>
      <c r="H649" s="3"/>
      <c r="I649" s="176"/>
      <c r="J649" s="182"/>
      <c r="K649" s="123"/>
    </row>
    <row r="650" spans="2:11" x14ac:dyDescent="0.25">
      <c r="B650" s="181"/>
      <c r="C650" s="171"/>
      <c r="D650" s="171"/>
      <c r="E650" s="171"/>
      <c r="F650" s="69"/>
      <c r="G650" s="69"/>
      <c r="H650" s="3"/>
      <c r="I650" s="176"/>
      <c r="J650" s="182"/>
      <c r="K650" s="123"/>
    </row>
    <row r="651" spans="2:11" x14ac:dyDescent="0.25">
      <c r="B651" s="181"/>
      <c r="C651" s="171"/>
      <c r="D651" s="171"/>
      <c r="E651" s="171"/>
      <c r="F651" s="69"/>
      <c r="G651" s="69"/>
      <c r="H651" s="3"/>
      <c r="I651" s="176"/>
      <c r="J651" s="182"/>
      <c r="K651" s="123"/>
    </row>
    <row r="652" spans="2:11" x14ac:dyDescent="0.25">
      <c r="B652" s="181"/>
      <c r="C652" s="171"/>
      <c r="D652" s="171"/>
      <c r="E652" s="171"/>
      <c r="F652" s="69"/>
      <c r="G652" s="69"/>
      <c r="H652" s="3"/>
      <c r="I652" s="176"/>
      <c r="J652" s="182"/>
      <c r="K652" s="123"/>
    </row>
    <row r="653" spans="2:11" x14ac:dyDescent="0.25">
      <c r="B653" s="181"/>
      <c r="C653" s="171"/>
      <c r="D653" s="171"/>
      <c r="E653" s="171"/>
      <c r="F653" s="69"/>
      <c r="G653" s="69"/>
      <c r="H653" s="3"/>
      <c r="I653" s="176"/>
      <c r="J653" s="182"/>
      <c r="K653" s="123"/>
    </row>
    <row r="654" spans="2:11" x14ac:dyDescent="0.25">
      <c r="B654" s="181"/>
      <c r="C654" s="171"/>
      <c r="D654" s="171"/>
      <c r="E654" s="171"/>
      <c r="F654" s="69"/>
      <c r="G654" s="69"/>
      <c r="H654" s="3"/>
      <c r="I654" s="176"/>
      <c r="J654" s="182"/>
      <c r="K654" s="123"/>
    </row>
    <row r="655" spans="2:11" x14ac:dyDescent="0.25">
      <c r="B655" s="181"/>
      <c r="C655" s="171"/>
      <c r="D655" s="171"/>
      <c r="E655" s="171"/>
      <c r="F655" s="69"/>
      <c r="G655" s="69"/>
      <c r="H655" s="3"/>
      <c r="I655" s="176"/>
      <c r="J655" s="182"/>
      <c r="K655" s="123"/>
    </row>
    <row r="656" spans="2:11" x14ac:dyDescent="0.25">
      <c r="B656" s="181"/>
      <c r="C656" s="171"/>
      <c r="D656" s="171"/>
      <c r="E656" s="171"/>
      <c r="F656" s="69"/>
      <c r="G656" s="69"/>
      <c r="H656" s="58"/>
      <c r="I656" s="176"/>
      <c r="J656" s="182"/>
      <c r="K656" s="125"/>
    </row>
    <row r="657" spans="2:10" x14ac:dyDescent="0.25">
      <c r="B657" s="177"/>
      <c r="C657" s="171"/>
      <c r="D657" s="171"/>
      <c r="E657" s="171"/>
      <c r="F657" s="178"/>
      <c r="G657" s="178"/>
      <c r="H657" s="178"/>
      <c r="I657" s="183"/>
      <c r="J657" s="180"/>
    </row>
    <row r="658" spans="2:10" x14ac:dyDescent="0.25">
      <c r="B658" s="171"/>
      <c r="C658" s="171"/>
      <c r="D658" s="171"/>
      <c r="E658" s="171"/>
      <c r="F658" s="171"/>
      <c r="G658" s="171"/>
      <c r="H658" s="171"/>
      <c r="I658" s="171"/>
      <c r="J658" s="171"/>
    </row>
    <row r="659" spans="2:10" x14ac:dyDescent="0.25">
      <c r="B659" s="171"/>
      <c r="C659" s="171"/>
      <c r="D659" s="171"/>
      <c r="E659" s="171"/>
      <c r="F659" s="171"/>
      <c r="G659" s="171"/>
      <c r="H659" s="171"/>
      <c r="I659" s="171"/>
      <c r="J659" s="171"/>
    </row>
  </sheetData>
  <pageMargins left="0.7" right="0.7" top="0.75" bottom="0.75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8" workbookViewId="0">
      <selection activeCell="E40" sqref="E40"/>
    </sheetView>
  </sheetViews>
  <sheetFormatPr baseColWidth="10" defaultRowHeight="15" x14ac:dyDescent="0.25"/>
  <cols>
    <col min="1" max="1" width="8.85546875" customWidth="1"/>
    <col min="2" max="2" width="64.140625" customWidth="1"/>
    <col min="3" max="3" width="22.5703125" style="20" customWidth="1"/>
    <col min="4" max="4" width="21.28515625" customWidth="1"/>
    <col min="5" max="5" width="15.85546875" bestFit="1" customWidth="1"/>
    <col min="6" max="6" width="15.85546875" style="20" bestFit="1" customWidth="1"/>
    <col min="7" max="8" width="16.7109375" bestFit="1" customWidth="1"/>
  </cols>
  <sheetData>
    <row r="1" spans="1:7" x14ac:dyDescent="0.25">
      <c r="A1" s="347" t="s">
        <v>187</v>
      </c>
      <c r="B1" s="347"/>
      <c r="C1" s="347"/>
      <c r="D1" s="292"/>
      <c r="E1" s="292"/>
      <c r="F1" s="293"/>
      <c r="G1" s="112"/>
    </row>
    <row r="2" spans="1:7" x14ac:dyDescent="0.25">
      <c r="A2" s="347" t="s">
        <v>188</v>
      </c>
      <c r="B2" s="347"/>
      <c r="C2" s="347"/>
      <c r="D2" s="292"/>
      <c r="E2" s="292"/>
      <c r="F2" s="293"/>
      <c r="G2" s="112"/>
    </row>
    <row r="3" spans="1:7" x14ac:dyDescent="0.25">
      <c r="A3" s="347" t="s">
        <v>189</v>
      </c>
      <c r="B3" s="347"/>
      <c r="C3" s="347"/>
      <c r="D3" s="292"/>
      <c r="E3" s="292"/>
      <c r="F3" s="293"/>
      <c r="G3" s="112"/>
    </row>
    <row r="4" spans="1:7" x14ac:dyDescent="0.25">
      <c r="A4" s="294"/>
      <c r="B4" s="294"/>
      <c r="C4" s="294"/>
      <c r="D4" s="292"/>
      <c r="E4" s="292"/>
      <c r="F4" s="293"/>
      <c r="G4" s="112"/>
    </row>
    <row r="5" spans="1:7" x14ac:dyDescent="0.25">
      <c r="A5" s="294"/>
      <c r="B5" s="294"/>
      <c r="C5" s="294"/>
      <c r="D5" s="292"/>
      <c r="E5" s="292"/>
      <c r="F5" s="293"/>
      <c r="G5" s="112"/>
    </row>
    <row r="6" spans="1:7" x14ac:dyDescent="0.25">
      <c r="A6" s="294"/>
      <c r="B6" s="294"/>
      <c r="C6" s="294"/>
      <c r="D6" s="292"/>
      <c r="E6" s="292"/>
      <c r="F6" s="293"/>
      <c r="G6" s="112"/>
    </row>
    <row r="7" spans="1:7" x14ac:dyDescent="0.25">
      <c r="A7" s="294"/>
      <c r="B7" s="294"/>
      <c r="C7" s="294"/>
      <c r="D7" s="292"/>
      <c r="E7" s="292"/>
      <c r="F7" s="293"/>
      <c r="G7" s="112"/>
    </row>
    <row r="8" spans="1:7" x14ac:dyDescent="0.25">
      <c r="A8" s="348"/>
      <c r="B8" s="348"/>
      <c r="C8" s="348"/>
      <c r="D8" s="295"/>
      <c r="E8" s="295"/>
      <c r="F8" s="296"/>
      <c r="G8" s="226"/>
    </row>
    <row r="9" spans="1:7" x14ac:dyDescent="0.25">
      <c r="A9" s="347" t="s">
        <v>1</v>
      </c>
      <c r="B9" s="347"/>
      <c r="C9" s="347"/>
      <c r="D9" s="292"/>
      <c r="E9" s="292"/>
      <c r="F9" s="293"/>
      <c r="G9" s="112"/>
    </row>
    <row r="10" spans="1:7" x14ac:dyDescent="0.25">
      <c r="A10" s="347" t="s">
        <v>601</v>
      </c>
      <c r="B10" s="347"/>
      <c r="C10" s="347"/>
      <c r="D10" s="292"/>
      <c r="E10" s="292"/>
      <c r="F10" s="293"/>
      <c r="G10" s="112"/>
    </row>
    <row r="11" spans="1:7" x14ac:dyDescent="0.25">
      <c r="A11" s="347" t="s">
        <v>147</v>
      </c>
      <c r="B11" s="347"/>
      <c r="C11" s="347"/>
      <c r="D11" s="292"/>
      <c r="E11" s="292"/>
      <c r="F11" s="293"/>
      <c r="G11" s="112"/>
    </row>
    <row r="12" spans="1:7" x14ac:dyDescent="0.25">
      <c r="A12" s="112"/>
      <c r="B12" s="112"/>
      <c r="C12" s="103"/>
      <c r="D12" s="112"/>
      <c r="E12" s="112"/>
      <c r="F12" s="103"/>
      <c r="G12" s="112"/>
    </row>
    <row r="13" spans="1:7" x14ac:dyDescent="0.25">
      <c r="A13" s="112"/>
      <c r="B13" s="112"/>
      <c r="C13" s="122">
        <v>2021</v>
      </c>
      <c r="D13" s="122"/>
      <c r="E13" s="221"/>
      <c r="F13" s="103"/>
      <c r="G13" s="112"/>
    </row>
    <row r="14" spans="1:7" x14ac:dyDescent="0.25">
      <c r="A14" s="112"/>
      <c r="B14" s="297" t="s">
        <v>196</v>
      </c>
      <c r="C14" s="103"/>
      <c r="D14" s="112"/>
      <c r="E14" s="112"/>
      <c r="F14" s="103"/>
      <c r="G14" s="112"/>
    </row>
    <row r="15" spans="1:7" x14ac:dyDescent="0.25">
      <c r="A15" s="112"/>
      <c r="B15" s="112" t="s">
        <v>2</v>
      </c>
      <c r="C15" s="103">
        <f>+'ESTADO DE REND.'!C17</f>
        <v>56567048.43</v>
      </c>
      <c r="D15" s="103"/>
      <c r="E15" s="237"/>
      <c r="F15" s="103"/>
      <c r="G15" s="112"/>
    </row>
    <row r="16" spans="1:7" x14ac:dyDescent="0.25">
      <c r="A16" s="112"/>
      <c r="B16" s="112" t="s">
        <v>592</v>
      </c>
      <c r="C16" s="103">
        <f>'NOTAS (2)'!O148</f>
        <v>21319779.120000001</v>
      </c>
      <c r="D16" s="103"/>
      <c r="E16" s="237"/>
      <c r="F16" s="103"/>
      <c r="G16" s="112"/>
    </row>
    <row r="17" spans="1:8" x14ac:dyDescent="0.25">
      <c r="A17" s="112"/>
      <c r="B17" s="112" t="s">
        <v>197</v>
      </c>
      <c r="C17" s="103">
        <v>0</v>
      </c>
      <c r="D17" s="103"/>
      <c r="E17" s="187"/>
      <c r="F17" s="103"/>
      <c r="G17" s="112"/>
    </row>
    <row r="18" spans="1:8" x14ac:dyDescent="0.25">
      <c r="A18" s="112"/>
      <c r="B18" s="112" t="s">
        <v>3</v>
      </c>
      <c r="C18" s="103">
        <v>0</v>
      </c>
      <c r="D18" s="103"/>
      <c r="E18" s="224"/>
      <c r="F18" s="103"/>
      <c r="G18" s="112"/>
    </row>
    <row r="19" spans="1:8" x14ac:dyDescent="0.25">
      <c r="A19" s="112"/>
      <c r="B19" s="112" t="s">
        <v>4</v>
      </c>
      <c r="C19" s="103">
        <f>-40358342.31-1290171.19</f>
        <v>-41648513.5</v>
      </c>
      <c r="D19" s="103"/>
      <c r="E19" s="224"/>
      <c r="F19" s="103"/>
      <c r="G19" s="103"/>
    </row>
    <row r="20" spans="1:8" x14ac:dyDescent="0.25">
      <c r="A20" s="112"/>
      <c r="B20" s="112" t="s">
        <v>5</v>
      </c>
      <c r="C20" s="224">
        <f>-'NOTAS (2)'!C196-3526956.52-3809423.85+3526956.52</f>
        <v>-7618847.7000000011</v>
      </c>
      <c r="D20" s="103"/>
      <c r="E20" s="224"/>
      <c r="F20" s="103"/>
      <c r="G20" s="238"/>
    </row>
    <row r="21" spans="1:8" x14ac:dyDescent="0.25">
      <c r="A21" s="112"/>
      <c r="B21" s="112" t="s">
        <v>382</v>
      </c>
      <c r="C21" s="224">
        <f>-51941623.13-3526956.52</f>
        <v>-55468579.650000006</v>
      </c>
      <c r="D21" s="103"/>
      <c r="E21" s="224"/>
      <c r="F21" s="224"/>
      <c r="G21" s="103"/>
      <c r="H21" s="105"/>
    </row>
    <row r="22" spans="1:8" x14ac:dyDescent="0.25">
      <c r="A22" s="112"/>
      <c r="B22" s="112" t="s">
        <v>198</v>
      </c>
      <c r="C22" s="224">
        <f>-5534609.45</f>
        <v>-5534609.4500000002</v>
      </c>
      <c r="D22" s="103"/>
      <c r="E22" s="224"/>
      <c r="F22" s="224"/>
      <c r="G22" s="238"/>
    </row>
    <row r="23" spans="1:8" s="19" customFormat="1" x14ac:dyDescent="0.25">
      <c r="A23" s="297"/>
      <c r="B23" s="297" t="s">
        <v>199</v>
      </c>
      <c r="C23" s="132">
        <f>SUM(C15:C22)</f>
        <v>-32383722.750000011</v>
      </c>
      <c r="D23" s="132"/>
      <c r="E23" s="187"/>
      <c r="F23" s="132"/>
      <c r="G23" s="224"/>
    </row>
    <row r="24" spans="1:8" x14ac:dyDescent="0.25">
      <c r="A24" s="112"/>
      <c r="B24" s="112"/>
      <c r="C24" s="103"/>
      <c r="D24" s="103"/>
      <c r="E24" s="224"/>
      <c r="F24" s="103"/>
      <c r="G24" s="112"/>
    </row>
    <row r="25" spans="1:8" x14ac:dyDescent="0.25">
      <c r="A25" s="112"/>
      <c r="B25" s="297" t="s">
        <v>200</v>
      </c>
      <c r="C25" s="103"/>
      <c r="D25" s="103"/>
      <c r="E25" s="226"/>
      <c r="F25" s="103"/>
      <c r="G25" s="112"/>
    </row>
    <row r="26" spans="1:8" x14ac:dyDescent="0.25">
      <c r="A26" s="112"/>
      <c r="B26" s="112" t="s">
        <v>201</v>
      </c>
      <c r="C26" s="224">
        <v>-415162.44</v>
      </c>
      <c r="D26" s="103"/>
      <c r="E26" s="224"/>
      <c r="F26" s="103"/>
      <c r="G26" s="224"/>
    </row>
    <row r="27" spans="1:8" x14ac:dyDescent="0.25">
      <c r="A27" s="112"/>
      <c r="B27" s="112" t="s">
        <v>202</v>
      </c>
      <c r="C27" s="224">
        <v>0</v>
      </c>
      <c r="D27" s="103"/>
      <c r="E27" s="103"/>
      <c r="F27" s="103"/>
      <c r="G27" s="112"/>
    </row>
    <row r="28" spans="1:8" x14ac:dyDescent="0.25">
      <c r="A28" s="112"/>
      <c r="B28" s="112" t="s">
        <v>203</v>
      </c>
      <c r="C28" s="224">
        <v>0</v>
      </c>
      <c r="D28" s="103"/>
      <c r="E28" s="103"/>
      <c r="F28" s="103"/>
      <c r="G28" s="298"/>
      <c r="H28" s="78"/>
    </row>
    <row r="29" spans="1:8" s="19" customFormat="1" x14ac:dyDescent="0.25">
      <c r="A29" s="297"/>
      <c r="B29" s="297" t="s">
        <v>204</v>
      </c>
      <c r="C29" s="132">
        <f>SUM(C26:C28)</f>
        <v>-415162.44</v>
      </c>
      <c r="D29" s="132"/>
      <c r="E29" s="187"/>
      <c r="F29" s="132"/>
      <c r="G29" s="297"/>
    </row>
    <row r="30" spans="1:8" x14ac:dyDescent="0.25">
      <c r="A30" s="112"/>
      <c r="B30" s="112"/>
      <c r="C30" s="103"/>
      <c r="D30" s="112"/>
      <c r="E30" s="237"/>
      <c r="F30" s="103"/>
      <c r="G30" s="112"/>
    </row>
    <row r="31" spans="1:8" x14ac:dyDescent="0.25">
      <c r="A31" s="112"/>
      <c r="B31" s="299" t="s">
        <v>205</v>
      </c>
      <c r="C31" s="103">
        <f>+C23+C29</f>
        <v>-32798885.190000013</v>
      </c>
      <c r="D31" s="146"/>
      <c r="E31" s="224"/>
      <c r="F31" s="103"/>
      <c r="G31" s="112"/>
    </row>
    <row r="32" spans="1:8" x14ac:dyDescent="0.25">
      <c r="A32" s="112"/>
      <c r="B32" s="112" t="s">
        <v>206</v>
      </c>
      <c r="C32" s="103">
        <v>386696360.82999998</v>
      </c>
      <c r="D32" s="132"/>
      <c r="E32" s="224"/>
      <c r="F32" s="103"/>
      <c r="G32" s="112"/>
    </row>
    <row r="33" spans="1:7" s="19" customFormat="1" x14ac:dyDescent="0.25">
      <c r="A33" s="297"/>
      <c r="B33" s="297" t="s">
        <v>207</v>
      </c>
      <c r="C33" s="132">
        <f>SUM(C31:C32)</f>
        <v>353897475.63999999</v>
      </c>
      <c r="D33" s="303"/>
      <c r="E33" s="187"/>
      <c r="F33" s="132"/>
      <c r="G33" s="297"/>
    </row>
    <row r="34" spans="1:7" x14ac:dyDescent="0.25">
      <c r="A34" s="112"/>
      <c r="B34" s="112"/>
      <c r="C34" s="103"/>
      <c r="D34" s="103"/>
      <c r="E34" s="226"/>
      <c r="F34" s="103"/>
      <c r="G34" s="112"/>
    </row>
    <row r="35" spans="1:7" x14ac:dyDescent="0.25">
      <c r="A35" s="112"/>
      <c r="B35" s="112"/>
      <c r="C35" s="103" t="s">
        <v>235</v>
      </c>
      <c r="D35" s="112"/>
      <c r="E35" s="226"/>
      <c r="F35" s="103"/>
      <c r="G35" s="112"/>
    </row>
    <row r="36" spans="1:7" x14ac:dyDescent="0.25">
      <c r="A36" s="112"/>
      <c r="B36" s="112"/>
      <c r="C36" s="103">
        <v>0</v>
      </c>
      <c r="D36" s="146"/>
      <c r="E36" s="224"/>
      <c r="F36" s="103"/>
      <c r="G36" s="112"/>
    </row>
    <row r="37" spans="1:7" x14ac:dyDescent="0.25">
      <c r="A37" s="112"/>
      <c r="B37" s="112"/>
      <c r="C37" s="103" t="s">
        <v>235</v>
      </c>
      <c r="D37" s="112"/>
      <c r="E37" s="237"/>
      <c r="F37" s="103"/>
      <c r="G37" s="112"/>
    </row>
    <row r="38" spans="1:7" x14ac:dyDescent="0.25">
      <c r="A38" s="112"/>
      <c r="B38" s="112"/>
      <c r="C38" s="103" t="s">
        <v>235</v>
      </c>
      <c r="D38" s="112"/>
      <c r="E38" s="226"/>
      <c r="F38" s="103"/>
      <c r="G38" s="112"/>
    </row>
    <row r="39" spans="1:7" x14ac:dyDescent="0.25">
      <c r="A39" s="112"/>
      <c r="B39" s="112"/>
      <c r="C39" s="103" t="s">
        <v>235</v>
      </c>
      <c r="D39" s="112"/>
      <c r="E39" s="226"/>
      <c r="F39" s="103"/>
      <c r="G39" s="112"/>
    </row>
    <row r="40" spans="1:7" x14ac:dyDescent="0.25">
      <c r="A40" s="346" t="s">
        <v>235</v>
      </c>
      <c r="B40" s="346"/>
      <c r="C40" s="346"/>
      <c r="D40" s="300"/>
      <c r="E40" s="301"/>
      <c r="F40" s="302"/>
      <c r="G40" s="112"/>
    </row>
    <row r="41" spans="1:7" x14ac:dyDescent="0.25">
      <c r="A41" s="346" t="s">
        <v>235</v>
      </c>
      <c r="B41" s="346"/>
      <c r="C41" s="346"/>
      <c r="D41" s="300"/>
      <c r="E41" s="301"/>
      <c r="F41" s="302"/>
      <c r="G41" s="112"/>
    </row>
    <row r="42" spans="1:7" x14ac:dyDescent="0.25">
      <c r="A42" s="112"/>
      <c r="B42" s="112"/>
      <c r="C42" s="112"/>
      <c r="D42" s="112"/>
      <c r="E42" s="226"/>
      <c r="F42" s="103"/>
      <c r="G42" s="112"/>
    </row>
    <row r="43" spans="1:7" x14ac:dyDescent="0.25">
      <c r="A43" s="112"/>
      <c r="B43" s="112"/>
      <c r="C43" s="112"/>
      <c r="D43" s="112"/>
      <c r="E43" s="226"/>
      <c r="F43" s="103"/>
      <c r="G43" s="112"/>
    </row>
    <row r="44" spans="1:7" x14ac:dyDescent="0.25">
      <c r="A44" s="112"/>
      <c r="B44" s="112"/>
      <c r="C44" s="112"/>
      <c r="D44" s="112"/>
      <c r="E44" s="226"/>
      <c r="F44" s="103"/>
      <c r="G44" s="112"/>
    </row>
    <row r="45" spans="1:7" x14ac:dyDescent="0.25">
      <c r="A45" s="300" t="s">
        <v>563</v>
      </c>
      <c r="B45" s="300"/>
      <c r="C45" s="345" t="s">
        <v>647</v>
      </c>
      <c r="D45" s="345"/>
      <c r="E45" s="345"/>
      <c r="F45" s="302"/>
      <c r="G45" s="112"/>
    </row>
    <row r="46" spans="1:7" x14ac:dyDescent="0.25">
      <c r="A46" s="300" t="s">
        <v>564</v>
      </c>
      <c r="B46" s="300"/>
      <c r="C46" s="345" t="s">
        <v>648</v>
      </c>
      <c r="D46" s="345"/>
      <c r="E46" s="345"/>
      <c r="F46" s="302"/>
      <c r="G46" s="112"/>
    </row>
    <row r="47" spans="1:7" x14ac:dyDescent="0.25">
      <c r="A47" s="112"/>
      <c r="B47" s="112"/>
      <c r="C47" s="112"/>
      <c r="D47" s="112"/>
      <c r="E47" s="112"/>
      <c r="F47" s="103"/>
      <c r="G47" s="112"/>
    </row>
    <row r="48" spans="1:7" x14ac:dyDescent="0.25">
      <c r="A48" s="112"/>
      <c r="B48" s="112"/>
      <c r="C48" s="103"/>
      <c r="D48" s="112"/>
      <c r="E48" s="112"/>
      <c r="F48" s="103"/>
      <c r="G48" s="112"/>
    </row>
    <row r="49" spans="1:7" x14ac:dyDescent="0.25">
      <c r="A49" s="112"/>
      <c r="B49" s="112"/>
      <c r="C49" s="103"/>
      <c r="D49" s="112"/>
      <c r="E49" s="112"/>
      <c r="F49" s="103"/>
      <c r="G49" s="112"/>
    </row>
    <row r="50" spans="1:7" x14ac:dyDescent="0.25">
      <c r="A50" s="112" t="s">
        <v>235</v>
      </c>
      <c r="B50" s="112"/>
      <c r="C50" s="103"/>
      <c r="D50" s="112"/>
      <c r="E50" s="112"/>
      <c r="F50" s="103"/>
      <c r="G50" s="112"/>
    </row>
    <row r="51" spans="1:7" x14ac:dyDescent="0.25">
      <c r="A51" s="112"/>
      <c r="B51" s="112"/>
      <c r="C51" s="103"/>
      <c r="D51" s="112"/>
      <c r="E51" s="112"/>
      <c r="F51" s="103"/>
      <c r="G51" s="112"/>
    </row>
    <row r="52" spans="1:7" x14ac:dyDescent="0.25">
      <c r="A52" s="112"/>
      <c r="B52" s="112"/>
      <c r="C52" s="103"/>
      <c r="D52" s="112"/>
      <c r="E52" s="112"/>
    </row>
    <row r="53" spans="1:7" x14ac:dyDescent="0.25">
      <c r="A53" s="112"/>
      <c r="B53" s="112"/>
      <c r="C53" s="103"/>
      <c r="D53" s="112"/>
      <c r="E53" s="112"/>
    </row>
  </sheetData>
  <mergeCells count="11">
    <mergeCell ref="C45:E45"/>
    <mergeCell ref="C46:E46"/>
    <mergeCell ref="A40:C40"/>
    <mergeCell ref="A41:C41"/>
    <mergeCell ref="A1:C1"/>
    <mergeCell ref="A2:C2"/>
    <mergeCell ref="A3:C3"/>
    <mergeCell ref="A8:C8"/>
    <mergeCell ref="A9:C9"/>
    <mergeCell ref="A10:C10"/>
    <mergeCell ref="A11:C11"/>
  </mergeCells>
  <pageMargins left="0.7" right="0.7" top="0.75" bottom="0.75" header="0.3" footer="0.3"/>
  <pageSetup scale="8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25" workbookViewId="0">
      <selection activeCell="K35" sqref="K35:K36"/>
    </sheetView>
  </sheetViews>
  <sheetFormatPr baseColWidth="10" defaultRowHeight="15" x14ac:dyDescent="0.25"/>
  <cols>
    <col min="1" max="1" width="6.5703125" customWidth="1"/>
    <col min="2" max="2" width="38.140625" bestFit="1" customWidth="1"/>
    <col min="3" max="3" width="1.42578125" customWidth="1"/>
    <col min="4" max="4" width="16.85546875" bestFit="1" customWidth="1"/>
    <col min="5" max="5" width="0.5703125" customWidth="1"/>
    <col min="6" max="6" width="16.28515625" customWidth="1"/>
    <col min="7" max="7" width="0.85546875" customWidth="1"/>
    <col min="9" max="9" width="1.140625" customWidth="1"/>
    <col min="10" max="10" width="16.85546875" bestFit="1" customWidth="1"/>
  </cols>
  <sheetData>
    <row r="1" spans="1:10" x14ac:dyDescent="0.25">
      <c r="A1" s="341" t="s">
        <v>187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x14ac:dyDescent="0.25">
      <c r="A2" s="341" t="s">
        <v>188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 x14ac:dyDescent="0.25">
      <c r="A3" s="341" t="s">
        <v>189</v>
      </c>
      <c r="B3" s="341"/>
      <c r="C3" s="341"/>
      <c r="D3" s="341"/>
      <c r="E3" s="341"/>
      <c r="F3" s="341"/>
      <c r="G3" s="341"/>
      <c r="H3" s="341"/>
      <c r="I3" s="341"/>
      <c r="J3" s="341"/>
    </row>
    <row r="4" spans="1:10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</row>
    <row r="8" spans="1:10" x14ac:dyDescent="0.25">
      <c r="A8" s="343"/>
      <c r="B8" s="343"/>
      <c r="C8" s="343"/>
      <c r="D8" s="343"/>
      <c r="E8" s="343"/>
      <c r="F8" s="343"/>
      <c r="G8" s="343"/>
      <c r="H8" s="343"/>
      <c r="I8" s="343"/>
      <c r="J8" s="343"/>
    </row>
    <row r="9" spans="1:10" x14ac:dyDescent="0.25">
      <c r="A9" s="341" t="s">
        <v>377</v>
      </c>
      <c r="B9" s="341"/>
      <c r="C9" s="341"/>
      <c r="D9" s="341"/>
      <c r="E9" s="341"/>
      <c r="F9" s="341"/>
      <c r="G9" s="341"/>
      <c r="H9" s="341"/>
      <c r="I9" s="341"/>
      <c r="J9" s="341"/>
    </row>
    <row r="10" spans="1:10" x14ac:dyDescent="0.25">
      <c r="A10" s="341" t="s">
        <v>660</v>
      </c>
      <c r="B10" s="341"/>
      <c r="C10" s="341"/>
      <c r="D10" s="341"/>
      <c r="E10" s="341"/>
      <c r="F10" s="341"/>
      <c r="G10" s="341"/>
      <c r="H10" s="341"/>
      <c r="I10" s="341"/>
      <c r="J10" s="341"/>
    </row>
    <row r="11" spans="1:10" x14ac:dyDescent="0.25">
      <c r="A11" s="341" t="s">
        <v>9</v>
      </c>
      <c r="B11" s="341"/>
      <c r="C11" s="341"/>
      <c r="D11" s="341"/>
      <c r="E11" s="341"/>
      <c r="F11" s="341"/>
      <c r="G11" s="341"/>
      <c r="H11" s="341"/>
      <c r="I11" s="341"/>
      <c r="J11" s="341"/>
    </row>
    <row r="12" spans="1:10" x14ac:dyDescent="0.25">
      <c r="A12" s="341" t="s">
        <v>208</v>
      </c>
      <c r="B12" s="341"/>
      <c r="C12" s="341"/>
      <c r="D12" s="341"/>
      <c r="E12" s="341"/>
      <c r="F12" s="341"/>
      <c r="G12" s="341"/>
      <c r="H12" s="341"/>
      <c r="I12" s="341"/>
      <c r="J12" s="341"/>
    </row>
    <row r="13" spans="1:10" x14ac:dyDescent="0.25">
      <c r="A13" s="341"/>
      <c r="B13" s="341"/>
      <c r="C13" s="341"/>
      <c r="D13" s="341"/>
      <c r="E13" s="341"/>
      <c r="F13" s="341"/>
      <c r="G13" s="341"/>
      <c r="H13" s="341"/>
      <c r="I13" s="341"/>
      <c r="J13" s="341"/>
    </row>
    <row r="15" spans="1:10" s="2" customFormat="1" ht="60" x14ac:dyDescent="0.25">
      <c r="A15" s="6" t="s">
        <v>209</v>
      </c>
      <c r="D15" s="4" t="s">
        <v>219</v>
      </c>
      <c r="E15" s="4"/>
      <c r="F15" s="4" t="s">
        <v>220</v>
      </c>
      <c r="G15" s="4"/>
      <c r="H15" s="4" t="s">
        <v>221</v>
      </c>
      <c r="I15" s="4"/>
      <c r="J15" s="4" t="s">
        <v>222</v>
      </c>
    </row>
    <row r="16" spans="1:10" s="19" customFormat="1" x14ac:dyDescent="0.25">
      <c r="A16" s="73">
        <v>1</v>
      </c>
      <c r="B16" s="19" t="s">
        <v>210</v>
      </c>
      <c r="D16" s="74">
        <f>SUM(D17:D18)</f>
        <v>1930874589.25</v>
      </c>
      <c r="E16" s="74"/>
      <c r="F16" s="74">
        <f>SUM(F17:F18)</f>
        <v>561844028.40999997</v>
      </c>
      <c r="G16" s="74"/>
      <c r="H16" s="76">
        <f>SUM(H17:H18)</f>
        <v>0.970511799595136</v>
      </c>
      <c r="I16" s="74"/>
      <c r="J16" s="74">
        <f>SUM(J17:J18)</f>
        <v>1369030560.8399999</v>
      </c>
    </row>
    <row r="17" spans="1:10" x14ac:dyDescent="0.25">
      <c r="A17" s="72">
        <v>1.4</v>
      </c>
      <c r="B17" t="s">
        <v>211</v>
      </c>
      <c r="D17" s="20">
        <v>231720609.77000001</v>
      </c>
      <c r="E17" s="20"/>
      <c r="F17" s="20">
        <v>171679206.03</v>
      </c>
      <c r="G17" s="20"/>
      <c r="H17" s="75">
        <f>F17/D17</f>
        <v>0.74088880656927503</v>
      </c>
      <c r="I17" s="20"/>
      <c r="J17" s="20">
        <f>+D17-F17</f>
        <v>60041403.74000001</v>
      </c>
    </row>
    <row r="18" spans="1:10" x14ac:dyDescent="0.25">
      <c r="A18" s="72">
        <v>1.6</v>
      </c>
      <c r="B18" t="s">
        <v>212</v>
      </c>
      <c r="D18" s="20">
        <v>1699153979.48</v>
      </c>
      <c r="E18" s="20"/>
      <c r="F18" s="20">
        <v>390164822.38</v>
      </c>
      <c r="G18" s="20"/>
      <c r="H18" s="75">
        <f>F18/D18</f>
        <v>0.22962299302586101</v>
      </c>
      <c r="I18" s="20"/>
      <c r="J18" s="20">
        <f>+D18-F18</f>
        <v>1308989157.0999999</v>
      </c>
    </row>
    <row r="19" spans="1:10" s="19" customFormat="1" x14ac:dyDescent="0.25">
      <c r="A19" s="73">
        <v>2</v>
      </c>
      <c r="B19" s="19" t="s">
        <v>213</v>
      </c>
      <c r="D19" s="74">
        <f>SUM(D20:D24)</f>
        <v>1930874589.26</v>
      </c>
      <c r="E19" s="74"/>
      <c r="F19" s="74">
        <f>SUM(F20:F24)</f>
        <v>668203138.49000001</v>
      </c>
      <c r="G19" s="74"/>
      <c r="H19" s="76">
        <f>SUM(H20:H24)</f>
        <v>1.6976399101785173</v>
      </c>
      <c r="I19" s="74"/>
      <c r="J19" s="74">
        <f>SUM(J20:J24)</f>
        <v>1262671450.77</v>
      </c>
    </row>
    <row r="20" spans="1:10" x14ac:dyDescent="0.25">
      <c r="A20" s="72">
        <v>2.1</v>
      </c>
      <c r="B20" t="s">
        <v>214</v>
      </c>
      <c r="D20" s="20">
        <v>679235469.65999997</v>
      </c>
      <c r="E20" s="20"/>
      <c r="F20" s="20">
        <v>274565870.85000002</v>
      </c>
      <c r="G20" s="20"/>
      <c r="H20" s="75">
        <f>F20/D20</f>
        <v>0.40422781658831436</v>
      </c>
      <c r="I20" s="20"/>
      <c r="J20" s="20">
        <f>+D20-F20</f>
        <v>404669598.80999994</v>
      </c>
    </row>
    <row r="21" spans="1:10" x14ac:dyDescent="0.25">
      <c r="A21" s="72">
        <v>2.2000000000000002</v>
      </c>
      <c r="B21" t="s">
        <v>215</v>
      </c>
      <c r="D21" s="20">
        <v>109124643.3</v>
      </c>
      <c r="E21" s="20"/>
      <c r="F21" s="20">
        <v>66428011.140000001</v>
      </c>
      <c r="G21" s="20"/>
      <c r="H21" s="75">
        <f t="shared" ref="H21:H24" si="0">F21/D21</f>
        <v>0.60873519611312221</v>
      </c>
      <c r="I21" s="20"/>
      <c r="J21" s="20">
        <f t="shared" ref="J21:J24" si="1">+D21-F21</f>
        <v>42696632.159999996</v>
      </c>
    </row>
    <row r="22" spans="1:10" x14ac:dyDescent="0.25">
      <c r="A22" s="72">
        <v>2.2999999999999998</v>
      </c>
      <c r="B22" t="s">
        <v>216</v>
      </c>
      <c r="D22" s="20">
        <v>965612666.63999999</v>
      </c>
      <c r="E22" s="20"/>
      <c r="F22" s="20">
        <v>314633150.50999999</v>
      </c>
      <c r="G22" s="20"/>
      <c r="H22" s="75">
        <f t="shared" si="0"/>
        <v>0.32583784511114083</v>
      </c>
      <c r="I22" s="20"/>
      <c r="J22" s="20">
        <f t="shared" si="1"/>
        <v>650979516.13</v>
      </c>
    </row>
    <row r="23" spans="1:10" x14ac:dyDescent="0.25">
      <c r="A23" s="72">
        <v>2.4</v>
      </c>
      <c r="B23" t="s">
        <v>217</v>
      </c>
      <c r="D23" s="20">
        <v>1536300</v>
      </c>
      <c r="E23" s="20"/>
      <c r="F23" s="20">
        <f>272509.24+172500</f>
        <v>445009.24</v>
      </c>
      <c r="G23" s="20"/>
      <c r="H23" s="75">
        <f t="shared" si="0"/>
        <v>0.28966298249039901</v>
      </c>
      <c r="I23" s="20"/>
      <c r="J23" s="20">
        <f t="shared" si="1"/>
        <v>1091290.76</v>
      </c>
    </row>
    <row r="24" spans="1:10" x14ac:dyDescent="0.25">
      <c r="A24" s="72">
        <v>2.6</v>
      </c>
      <c r="B24" t="s">
        <v>218</v>
      </c>
      <c r="D24" s="20">
        <v>175365509.66</v>
      </c>
      <c r="E24" s="20"/>
      <c r="F24" s="20">
        <v>12131096.75</v>
      </c>
      <c r="G24" s="20"/>
      <c r="H24" s="75">
        <f t="shared" si="0"/>
        <v>6.9176069875540883E-2</v>
      </c>
      <c r="I24" s="20"/>
      <c r="J24" s="20">
        <f t="shared" si="1"/>
        <v>163234412.91</v>
      </c>
    </row>
    <row r="25" spans="1:10" s="19" customFormat="1" ht="15.75" thickBot="1" x14ac:dyDescent="0.3">
      <c r="A25" s="73"/>
      <c r="B25" s="19" t="s">
        <v>223</v>
      </c>
      <c r="D25" s="67">
        <f>+D16-D19</f>
        <v>-9.9999904632568359E-3</v>
      </c>
      <c r="E25" s="67"/>
      <c r="F25" s="67">
        <f>+F16-F19</f>
        <v>-106359110.08000004</v>
      </c>
      <c r="G25" s="67"/>
      <c r="H25" s="67"/>
      <c r="I25" s="67"/>
      <c r="J25" s="67">
        <f>+J16-J19</f>
        <v>106359110.06999993</v>
      </c>
    </row>
    <row r="26" spans="1:10" ht="15.75" thickTop="1" x14ac:dyDescent="0.25">
      <c r="A26" s="72"/>
      <c r="D26" s="20"/>
      <c r="E26" s="20"/>
      <c r="F26" s="20"/>
      <c r="G26" s="20"/>
      <c r="H26" s="20"/>
      <c r="I26" s="20"/>
      <c r="J26" s="20"/>
    </row>
    <row r="27" spans="1:10" x14ac:dyDescent="0.25">
      <c r="A27" s="72"/>
      <c r="D27" s="20"/>
      <c r="E27" s="20"/>
      <c r="F27" s="20"/>
      <c r="G27" s="20"/>
      <c r="H27" s="20"/>
      <c r="I27" s="20"/>
      <c r="J27" s="20"/>
    </row>
    <row r="28" spans="1:10" x14ac:dyDescent="0.25">
      <c r="A28" s="72"/>
      <c r="D28" s="20"/>
      <c r="E28" s="20"/>
      <c r="F28" s="20"/>
      <c r="G28" s="20"/>
      <c r="H28" s="20"/>
      <c r="I28" s="20"/>
      <c r="J28" s="20"/>
    </row>
    <row r="29" spans="1:10" x14ac:dyDescent="0.25">
      <c r="A29" s="72"/>
      <c r="D29" s="20"/>
      <c r="E29" s="20"/>
      <c r="F29" s="20"/>
      <c r="G29" s="20"/>
      <c r="H29" s="20"/>
      <c r="I29" s="20"/>
      <c r="J29" s="20"/>
    </row>
    <row r="30" spans="1:10" x14ac:dyDescent="0.25">
      <c r="A30" s="72"/>
      <c r="D30" s="20"/>
      <c r="E30" s="20"/>
      <c r="F30" s="20"/>
      <c r="G30" s="20"/>
      <c r="H30" s="20"/>
      <c r="I30" s="20"/>
      <c r="J30" s="20"/>
    </row>
    <row r="31" spans="1:10" x14ac:dyDescent="0.25">
      <c r="A31" s="72"/>
      <c r="D31" s="20"/>
      <c r="E31" s="20"/>
      <c r="F31" s="20"/>
      <c r="G31" s="20"/>
      <c r="H31" s="20"/>
      <c r="I31" s="20"/>
      <c r="J31" s="20"/>
    </row>
    <row r="32" spans="1:10" x14ac:dyDescent="0.25">
      <c r="A32" s="72"/>
      <c r="D32" s="20"/>
      <c r="E32" s="20"/>
      <c r="F32" s="20"/>
      <c r="G32" s="20"/>
      <c r="H32" s="20"/>
      <c r="I32" s="20"/>
      <c r="J32" s="20"/>
    </row>
    <row r="33" spans="1:10" x14ac:dyDescent="0.25">
      <c r="A33" s="72"/>
      <c r="D33" s="20"/>
      <c r="E33" s="20"/>
      <c r="F33" s="20"/>
      <c r="G33" s="20"/>
      <c r="H33" s="20"/>
      <c r="I33" s="20"/>
      <c r="J33" s="20"/>
    </row>
    <row r="34" spans="1:10" x14ac:dyDescent="0.25">
      <c r="A34" s="72"/>
      <c r="D34" s="20"/>
      <c r="E34" s="20"/>
      <c r="F34" s="20"/>
      <c r="G34" s="20"/>
      <c r="H34" s="20"/>
      <c r="I34" s="20"/>
      <c r="J34" s="20"/>
    </row>
    <row r="35" spans="1:10" x14ac:dyDescent="0.25">
      <c r="A35" s="340" t="s">
        <v>235</v>
      </c>
      <c r="B35" s="340"/>
      <c r="C35" s="340"/>
      <c r="D35" s="340"/>
      <c r="E35" s="340"/>
      <c r="F35" s="340"/>
      <c r="G35" s="340"/>
      <c r="H35" s="340"/>
      <c r="I35" s="340"/>
      <c r="J35" s="340"/>
    </row>
    <row r="36" spans="1:10" x14ac:dyDescent="0.25">
      <c r="A36" s="340" t="s">
        <v>235</v>
      </c>
      <c r="B36" s="340"/>
      <c r="C36" s="340"/>
      <c r="D36" s="340"/>
      <c r="E36" s="340"/>
      <c r="F36" s="340"/>
      <c r="G36" s="340"/>
      <c r="H36" s="340"/>
      <c r="I36" s="340"/>
      <c r="J36" s="340"/>
    </row>
    <row r="37" spans="1:10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</row>
    <row r="40" spans="1:10" x14ac:dyDescent="0.25">
      <c r="A40" s="340" t="s">
        <v>521</v>
      </c>
      <c r="B40" s="340"/>
      <c r="C40" s="340"/>
      <c r="D40" s="340"/>
      <c r="E40" s="340" t="s">
        <v>659</v>
      </c>
      <c r="F40" s="340"/>
      <c r="G40" s="340"/>
      <c r="H40" s="340"/>
      <c r="I40" s="340"/>
      <c r="J40" s="340"/>
    </row>
    <row r="41" spans="1:10" x14ac:dyDescent="0.25">
      <c r="A41" s="340" t="s">
        <v>185</v>
      </c>
      <c r="B41" s="340"/>
      <c r="C41" s="340"/>
      <c r="D41" s="340"/>
      <c r="E41" s="340" t="s">
        <v>649</v>
      </c>
      <c r="F41" s="340"/>
      <c r="G41" s="340"/>
      <c r="H41" s="340"/>
      <c r="I41" s="340"/>
      <c r="J41" s="340"/>
    </row>
    <row r="42" spans="1:10" x14ac:dyDescent="0.25">
      <c r="A42" s="72"/>
      <c r="F42" s="20"/>
    </row>
    <row r="43" spans="1:10" x14ac:dyDescent="0.25">
      <c r="A43" s="72"/>
    </row>
  </sheetData>
  <mergeCells count="15">
    <mergeCell ref="A35:J35"/>
    <mergeCell ref="A36:J36"/>
    <mergeCell ref="A40:D40"/>
    <mergeCell ref="A41:D41"/>
    <mergeCell ref="E40:J40"/>
    <mergeCell ref="E41:J41"/>
    <mergeCell ref="A11:J11"/>
    <mergeCell ref="A12:J12"/>
    <mergeCell ref="A13:J13"/>
    <mergeCell ref="A1:J1"/>
    <mergeCell ref="A2:J2"/>
    <mergeCell ref="A3:J3"/>
    <mergeCell ref="A8:J8"/>
    <mergeCell ref="A9:J9"/>
    <mergeCell ref="A10:J10"/>
  </mergeCells>
  <pageMargins left="0.7" right="0.7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3"/>
  <sheetViews>
    <sheetView topLeftCell="B7" workbookViewId="0">
      <selection activeCell="D17" sqref="D17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10" width="13.140625" bestFit="1" customWidth="1"/>
  </cols>
  <sheetData>
    <row r="4" spans="2:10" x14ac:dyDescent="0.25">
      <c r="B4" s="19" t="s">
        <v>342</v>
      </c>
    </row>
    <row r="6" spans="2:10" x14ac:dyDescent="0.25">
      <c r="G6" s="171"/>
    </row>
    <row r="7" spans="2:10" x14ac:dyDescent="0.25">
      <c r="B7" s="236">
        <v>2021</v>
      </c>
      <c r="C7" s="186" t="s">
        <v>235</v>
      </c>
      <c r="D7" s="186" t="s">
        <v>235</v>
      </c>
      <c r="E7" s="186" t="s">
        <v>235</v>
      </c>
      <c r="F7" s="186" t="s">
        <v>235</v>
      </c>
      <c r="G7" s="170"/>
    </row>
    <row r="8" spans="2:10" ht="30" x14ac:dyDescent="0.25">
      <c r="B8" s="201"/>
      <c r="C8" s="202" t="s">
        <v>60</v>
      </c>
      <c r="D8" s="202" t="s">
        <v>61</v>
      </c>
      <c r="E8" s="203" t="s">
        <v>62</v>
      </c>
      <c r="F8" s="204" t="s">
        <v>63</v>
      </c>
      <c r="G8" s="176"/>
    </row>
    <row r="9" spans="2:10" x14ac:dyDescent="0.25">
      <c r="B9" s="205" t="s">
        <v>183</v>
      </c>
      <c r="C9" s="211">
        <v>448686494.26999998</v>
      </c>
      <c r="D9" s="211">
        <v>118882588.33</v>
      </c>
      <c r="E9" s="212">
        <v>2050790.8</v>
      </c>
      <c r="F9" s="212">
        <f>SUM(C9:E9)</f>
        <v>569619873.39999998</v>
      </c>
      <c r="G9" s="176"/>
    </row>
    <row r="10" spans="2:10" x14ac:dyDescent="0.25">
      <c r="B10" s="206" t="s">
        <v>64</v>
      </c>
      <c r="C10" s="213">
        <v>0</v>
      </c>
      <c r="D10" s="213">
        <f>92984+148754.34+173424.6</f>
        <v>415162.94</v>
      </c>
      <c r="E10" s="213">
        <v>0</v>
      </c>
      <c r="F10" s="214">
        <f>SUM(C10:E10)</f>
        <v>415162.94</v>
      </c>
      <c r="G10" s="176"/>
      <c r="H10" t="s">
        <v>572</v>
      </c>
    </row>
    <row r="11" spans="2:10" x14ac:dyDescent="0.25">
      <c r="B11" s="205" t="s">
        <v>580</v>
      </c>
      <c r="C11" s="215">
        <f>SUM(C9:C10)</f>
        <v>448686494.26999998</v>
      </c>
      <c r="D11" s="215">
        <f>SUM(D9:D10)</f>
        <v>119297751.27</v>
      </c>
      <c r="E11" s="216">
        <f>SUM(E9:E10)</f>
        <v>2050790.8</v>
      </c>
      <c r="F11" s="216">
        <f>SUM(F9:F10)</f>
        <v>570035036.34000003</v>
      </c>
      <c r="G11" s="176"/>
    </row>
    <row r="12" spans="2:10" ht="13.5" customHeight="1" x14ac:dyDescent="0.25">
      <c r="B12" s="205"/>
      <c r="C12" s="211"/>
      <c r="D12" s="211"/>
      <c r="E12" s="212"/>
      <c r="F12" s="212"/>
      <c r="G12" s="176"/>
    </row>
    <row r="13" spans="2:10" x14ac:dyDescent="0.25">
      <c r="B13" s="205" t="s">
        <v>67</v>
      </c>
      <c r="C13" s="207"/>
      <c r="D13" s="207"/>
      <c r="E13" s="208"/>
      <c r="F13" s="208"/>
      <c r="G13" s="176"/>
    </row>
    <row r="14" spans="2:10" x14ac:dyDescent="0.25">
      <c r="B14" s="206" t="s">
        <v>68</v>
      </c>
      <c r="C14" s="213">
        <v>-418233655.81</v>
      </c>
      <c r="D14" s="213">
        <v>-92692673.680000007</v>
      </c>
      <c r="E14" s="214">
        <v>-1607495.05</v>
      </c>
      <c r="F14" s="214">
        <f>SUM(C14:E14)</f>
        <v>-512533824.54000002</v>
      </c>
      <c r="G14" s="176"/>
      <c r="J14" t="s">
        <v>559</v>
      </c>
    </row>
    <row r="15" spans="2:10" x14ac:dyDescent="0.25">
      <c r="B15" s="206" t="s">
        <v>69</v>
      </c>
      <c r="C15" s="213">
        <f>-1000930.82-168624.26</f>
        <v>-1169555.08</v>
      </c>
      <c r="D15" s="213">
        <f>-17087.82-164344.35-1563.6</f>
        <v>-182995.77000000002</v>
      </c>
      <c r="E15" s="214">
        <v>-3233.48</v>
      </c>
      <c r="F15" s="214">
        <f>SUM(C15:E15)</f>
        <v>-1355784.33</v>
      </c>
      <c r="G15" s="176"/>
      <c r="H15" s="20">
        <v>4111062.73</v>
      </c>
      <c r="I15" s="20">
        <v>7417352.54</v>
      </c>
      <c r="J15" s="229">
        <f>+I15-H15</f>
        <v>3306289.81</v>
      </c>
    </row>
    <row r="16" spans="2:10" x14ac:dyDescent="0.25">
      <c r="B16" s="205" t="s">
        <v>70</v>
      </c>
      <c r="C16" s="215">
        <f>SUM(C14:C15)</f>
        <v>-419403210.88999999</v>
      </c>
      <c r="D16" s="215">
        <f>SUM(D14:D15)</f>
        <v>-92875669.450000003</v>
      </c>
      <c r="E16" s="216">
        <f>SUM(E14:E15)</f>
        <v>-1610728.53</v>
      </c>
      <c r="F16" s="216">
        <f>SUM(F14:F15)</f>
        <v>-513889608.87</v>
      </c>
      <c r="G16" s="176"/>
    </row>
    <row r="17" spans="2:7" ht="15.75" thickBot="1" x14ac:dyDescent="0.3">
      <c r="B17" s="177" t="s">
        <v>549</v>
      </c>
      <c r="C17" s="209">
        <f>+C11+C16</f>
        <v>29283283.379999995</v>
      </c>
      <c r="D17" s="209">
        <f>+D11+D16</f>
        <v>26422081.819999993</v>
      </c>
      <c r="E17" s="210">
        <f>+E11+E16</f>
        <v>440062.27</v>
      </c>
      <c r="F17" s="210">
        <f>+F11+F16</f>
        <v>56145427.470000029</v>
      </c>
      <c r="G17" s="176"/>
    </row>
    <row r="18" spans="2:7" ht="15.75" thickTop="1" x14ac:dyDescent="0.25">
      <c r="B18" s="171"/>
      <c r="C18" s="171"/>
      <c r="D18" s="171"/>
      <c r="E18" s="171"/>
      <c r="F18" s="171"/>
      <c r="G18" s="171"/>
    </row>
    <row r="19" spans="2:7" x14ac:dyDescent="0.25">
      <c r="B19" s="171"/>
      <c r="C19" s="69" t="s">
        <v>235</v>
      </c>
      <c r="D19" s="69" t="s">
        <v>235</v>
      </c>
      <c r="E19" s="69" t="s">
        <v>235</v>
      </c>
      <c r="F19" s="70" t="s">
        <v>235</v>
      </c>
    </row>
    <row r="20" spans="2:7" x14ac:dyDescent="0.25">
      <c r="B20" s="198">
        <v>2020</v>
      </c>
      <c r="C20" s="170"/>
      <c r="D20" s="170"/>
      <c r="E20" s="170"/>
      <c r="F20" s="170"/>
    </row>
    <row r="21" spans="2:7" ht="30" x14ac:dyDescent="0.25">
      <c r="B21" s="201"/>
      <c r="C21" s="202" t="s">
        <v>60</v>
      </c>
      <c r="D21" s="202" t="s">
        <v>61</v>
      </c>
      <c r="E21" s="203" t="s">
        <v>62</v>
      </c>
      <c r="F21" s="204" t="s">
        <v>63</v>
      </c>
    </row>
    <row r="22" spans="2:7" x14ac:dyDescent="0.25">
      <c r="B22" s="205" t="s">
        <v>183</v>
      </c>
      <c r="C22" s="283">
        <v>436361008.66000003</v>
      </c>
      <c r="D22" s="283">
        <v>113018668.55</v>
      </c>
      <c r="E22" s="284">
        <v>2050790.8</v>
      </c>
      <c r="F22" s="284">
        <f>SUM(A22:E22)</f>
        <v>551430468.00999999</v>
      </c>
    </row>
    <row r="23" spans="2:7" ht="15.75" thickBot="1" x14ac:dyDescent="0.3">
      <c r="B23" s="206" t="s">
        <v>64</v>
      </c>
      <c r="C23" s="283">
        <f>256000.01+398795.16</f>
        <v>654795.16999999993</v>
      </c>
      <c r="D23" s="283">
        <v>1469088.39</v>
      </c>
      <c r="E23" s="285"/>
      <c r="F23" s="284">
        <f>SUM(A23:E23)</f>
        <v>2123883.5599999996</v>
      </c>
    </row>
    <row r="24" spans="2:7" ht="15.75" thickBot="1" x14ac:dyDescent="0.3">
      <c r="B24" s="206" t="s">
        <v>66</v>
      </c>
      <c r="C24" s="286">
        <f>SUM(C22:C23)</f>
        <v>437015803.83000004</v>
      </c>
      <c r="D24" s="286">
        <f>SUM(D22:D23)</f>
        <v>114487756.94</v>
      </c>
      <c r="E24" s="287">
        <f>SUM(E22:E23)</f>
        <v>2050790.8</v>
      </c>
      <c r="F24" s="287">
        <f>SUM(F22:F23)</f>
        <v>553554351.56999993</v>
      </c>
    </row>
    <row r="25" spans="2:7" ht="15.75" thickTop="1" x14ac:dyDescent="0.25">
      <c r="B25" s="205" t="s">
        <v>67</v>
      </c>
      <c r="C25" s="207"/>
      <c r="D25" s="207"/>
      <c r="E25" s="208"/>
      <c r="F25" s="208"/>
    </row>
    <row r="26" spans="2:7" x14ac:dyDescent="0.25">
      <c r="B26" s="206" t="s">
        <v>68</v>
      </c>
      <c r="C26" s="283">
        <v>-360694221.14999998</v>
      </c>
      <c r="D26" s="283">
        <v>-78461381.200000003</v>
      </c>
      <c r="E26" s="284">
        <v>-1423139.29</v>
      </c>
      <c r="F26" s="284">
        <f>SUM(A26:E26)</f>
        <v>-440578741.63999999</v>
      </c>
    </row>
    <row r="27" spans="2:7" ht="15.75" thickBot="1" x14ac:dyDescent="0.3">
      <c r="B27" s="206" t="s">
        <v>69</v>
      </c>
      <c r="C27" s="288">
        <v>-11827818.73</v>
      </c>
      <c r="D27" s="288">
        <v>-2970929.71</v>
      </c>
      <c r="E27" s="289">
        <v>-38809.22</v>
      </c>
      <c r="F27" s="284">
        <f>SUM(A27:E27)</f>
        <v>-14837557.660000002</v>
      </c>
    </row>
    <row r="28" spans="2:7" ht="15.75" thickBot="1" x14ac:dyDescent="0.3">
      <c r="B28" s="206" t="s">
        <v>70</v>
      </c>
      <c r="C28" s="288">
        <f>SUM(C25:C27)</f>
        <v>-372522039.88</v>
      </c>
      <c r="D28" s="288">
        <f>SUM(D25:D27)</f>
        <v>-81432310.909999996</v>
      </c>
      <c r="E28" s="289">
        <f>SUM(E25:E27)</f>
        <v>-1461948.51</v>
      </c>
      <c r="F28" s="290">
        <f>SUM(F25:F27)</f>
        <v>-455416299.30000001</v>
      </c>
    </row>
    <row r="29" spans="2:7" ht="15.75" thickBot="1" x14ac:dyDescent="0.3">
      <c r="B29" s="177" t="s">
        <v>184</v>
      </c>
      <c r="C29" s="286">
        <f>C24+C28</f>
        <v>64493763.950000048</v>
      </c>
      <c r="D29" s="286">
        <f>D24+D28</f>
        <v>33055446.030000001</v>
      </c>
      <c r="E29" s="286">
        <f>E24+E28</f>
        <v>588842.29</v>
      </c>
      <c r="F29" s="286">
        <f>F24+F28</f>
        <v>98138052.269999921</v>
      </c>
    </row>
    <row r="30" spans="2:7" ht="15.75" thickTop="1" x14ac:dyDescent="0.25">
      <c r="C30" s="213"/>
      <c r="D30" s="213"/>
      <c r="E30" s="214"/>
      <c r="F30" s="214"/>
    </row>
    <row r="31" spans="2:7" x14ac:dyDescent="0.25">
      <c r="F31" s="86"/>
    </row>
    <row r="33" spans="6:6" x14ac:dyDescent="0.25">
      <c r="F33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63"/>
  <sheetViews>
    <sheetView topLeftCell="A190" zoomScale="85" zoomScaleNormal="85" workbookViewId="0">
      <selection activeCell="B203" sqref="B203"/>
    </sheetView>
  </sheetViews>
  <sheetFormatPr baseColWidth="10" defaultRowHeight="15" x14ac:dyDescent="0.25"/>
  <cols>
    <col min="1" max="1" width="6.7109375" customWidth="1"/>
    <col min="2" max="2" width="58" customWidth="1"/>
    <col min="3" max="3" width="18.28515625" customWidth="1"/>
    <col min="4" max="4" width="19.42578125" customWidth="1"/>
    <col min="5" max="5" width="17" customWidth="1"/>
    <col min="6" max="6" width="16.42578125" customWidth="1"/>
    <col min="7" max="7" width="16.140625" customWidth="1"/>
    <col min="8" max="8" width="17.28515625" customWidth="1"/>
    <col min="9" max="9" width="15.140625" bestFit="1" customWidth="1"/>
    <col min="11" max="11" width="15.85546875" bestFit="1" customWidth="1"/>
  </cols>
  <sheetData>
    <row r="4" spans="2:9" x14ac:dyDescent="0.25">
      <c r="B4" s="19" t="s">
        <v>329</v>
      </c>
    </row>
    <row r="6" spans="2:9" x14ac:dyDescent="0.25">
      <c r="B6" s="19" t="s">
        <v>330</v>
      </c>
    </row>
    <row r="8" spans="2:9" x14ac:dyDescent="0.25">
      <c r="B8" t="s">
        <v>602</v>
      </c>
    </row>
    <row r="10" spans="2:9" x14ac:dyDescent="0.25">
      <c r="B10" s="19" t="s">
        <v>10</v>
      </c>
      <c r="C10" s="122">
        <v>2021</v>
      </c>
      <c r="D10" s="122">
        <v>2020</v>
      </c>
      <c r="E10" s="255" t="s">
        <v>574</v>
      </c>
      <c r="F10" s="122" t="s">
        <v>575</v>
      </c>
      <c r="G10" s="122"/>
      <c r="I10" s="115"/>
    </row>
    <row r="11" spans="2:9" x14ac:dyDescent="0.25">
      <c r="B11" t="s">
        <v>11</v>
      </c>
      <c r="C11" s="3">
        <v>341997130.39999998</v>
      </c>
      <c r="D11" s="260">
        <v>308888880.85000002</v>
      </c>
      <c r="E11" s="238">
        <f>C11-D11</f>
        <v>33108249.549999952</v>
      </c>
      <c r="F11" s="57">
        <f>E11/C11</f>
        <v>9.6808559508310882E-2</v>
      </c>
      <c r="G11" s="231"/>
      <c r="I11" s="116"/>
    </row>
    <row r="12" spans="2:9" x14ac:dyDescent="0.25">
      <c r="B12" t="s">
        <v>331</v>
      </c>
      <c r="C12" s="3">
        <v>11653998.68</v>
      </c>
      <c r="D12" s="260">
        <v>8239375.9500000002</v>
      </c>
      <c r="E12" s="238">
        <f t="shared" ref="E12:E15" si="0">C12-D12</f>
        <v>3414622.7299999995</v>
      </c>
      <c r="F12" s="57">
        <f t="shared" ref="F12:F15" si="1">E12/C12</f>
        <v>0.29300009582633657</v>
      </c>
      <c r="G12" s="231"/>
      <c r="I12" s="116"/>
    </row>
    <row r="13" spans="2:9" x14ac:dyDescent="0.25">
      <c r="B13" t="s">
        <v>332</v>
      </c>
      <c r="C13" s="3">
        <v>236346.56</v>
      </c>
      <c r="D13" s="260">
        <v>9704019.0500000007</v>
      </c>
      <c r="E13" s="238">
        <f t="shared" si="0"/>
        <v>-9467672.4900000002</v>
      </c>
      <c r="F13" s="57">
        <f t="shared" si="1"/>
        <v>-40.05843152529912</v>
      </c>
      <c r="G13" s="231"/>
      <c r="I13" s="116"/>
    </row>
    <row r="14" spans="2:9" x14ac:dyDescent="0.25">
      <c r="B14" t="s">
        <v>333</v>
      </c>
      <c r="C14" s="3">
        <v>0</v>
      </c>
      <c r="D14" s="3">
        <v>4000</v>
      </c>
      <c r="E14" s="238">
        <f t="shared" si="0"/>
        <v>-4000</v>
      </c>
      <c r="F14" s="57">
        <v>0</v>
      </c>
      <c r="G14" s="231"/>
      <c r="I14" s="117"/>
    </row>
    <row r="15" spans="2:9" x14ac:dyDescent="0.25">
      <c r="B15" s="77" t="s">
        <v>334</v>
      </c>
      <c r="C15" s="3">
        <v>10000</v>
      </c>
      <c r="D15" s="3">
        <v>6000</v>
      </c>
      <c r="E15" s="238">
        <f t="shared" si="0"/>
        <v>4000</v>
      </c>
      <c r="F15" s="57">
        <f t="shared" si="1"/>
        <v>0.4</v>
      </c>
      <c r="G15" s="231"/>
      <c r="I15" s="118"/>
    </row>
    <row r="16" spans="2:9" x14ac:dyDescent="0.25">
      <c r="B16" s="19" t="s">
        <v>14</v>
      </c>
      <c r="C16" s="120">
        <f>SUM(C11:C15)</f>
        <v>353897475.63999999</v>
      </c>
      <c r="D16" s="120">
        <f>SUM(D11:D15)</f>
        <v>326842275.85000002</v>
      </c>
      <c r="E16" s="129">
        <f>C16-D16</f>
        <v>27055199.789999962</v>
      </c>
      <c r="F16" s="143">
        <f>E16/C16</f>
        <v>7.644925904337814E-2</v>
      </c>
      <c r="G16" s="117"/>
      <c r="I16" s="117"/>
    </row>
    <row r="17" spans="2:9" x14ac:dyDescent="0.25">
      <c r="G17" s="112"/>
    </row>
    <row r="19" spans="2:9" x14ac:dyDescent="0.25">
      <c r="B19" t="s">
        <v>650</v>
      </c>
      <c r="C19" s="77"/>
      <c r="D19" s="77"/>
      <c r="E19" s="77"/>
      <c r="F19" s="77"/>
    </row>
    <row r="20" spans="2:9" x14ac:dyDescent="0.25">
      <c r="B20" t="s">
        <v>651</v>
      </c>
      <c r="C20" s="77"/>
      <c r="D20" s="77"/>
      <c r="E20" s="77"/>
      <c r="F20" s="77"/>
    </row>
    <row r="21" spans="2:9" x14ac:dyDescent="0.25">
      <c r="B21" s="77"/>
      <c r="C21" s="77"/>
      <c r="D21" s="77"/>
      <c r="E21" s="77"/>
      <c r="F21" s="77"/>
    </row>
    <row r="22" spans="2:9" x14ac:dyDescent="0.25">
      <c r="B22" s="19" t="s">
        <v>552</v>
      </c>
    </row>
    <row r="24" spans="2:9" x14ac:dyDescent="0.25">
      <c r="B24" s="19" t="s">
        <v>603</v>
      </c>
    </row>
    <row r="26" spans="2:9" x14ac:dyDescent="0.25">
      <c r="B26" s="19" t="s">
        <v>10</v>
      </c>
      <c r="C26" s="122">
        <v>2021</v>
      </c>
      <c r="D26" s="122">
        <v>2020</v>
      </c>
      <c r="E26" s="257" t="s">
        <v>574</v>
      </c>
      <c r="F26" s="122" t="s">
        <v>575</v>
      </c>
      <c r="G26" s="122"/>
      <c r="H26" s="20"/>
      <c r="I26" s="122"/>
    </row>
    <row r="27" spans="2:9" x14ac:dyDescent="0.25">
      <c r="B27" t="s">
        <v>336</v>
      </c>
      <c r="C27" s="69">
        <f>C64</f>
        <v>125026510.37000002</v>
      </c>
      <c r="D27" s="3">
        <f>D64</f>
        <v>164078560.88000003</v>
      </c>
      <c r="E27" s="105">
        <f>C27-D27</f>
        <v>-39052050.510000005</v>
      </c>
      <c r="F27" s="116">
        <f>E27/C27</f>
        <v>-0.31235015993352483</v>
      </c>
      <c r="G27" s="123"/>
      <c r="I27" s="123"/>
    </row>
    <row r="28" spans="2:9" x14ac:dyDescent="0.25">
      <c r="B28" s="77" t="s">
        <v>17</v>
      </c>
      <c r="C28" s="69">
        <f>C83</f>
        <v>1032778.9199999999</v>
      </c>
      <c r="D28" s="3">
        <f>D83</f>
        <v>4736175.67</v>
      </c>
      <c r="E28" s="105">
        <f t="shared" ref="E28:E29" si="2">C28-D28</f>
        <v>-3703396.75</v>
      </c>
      <c r="F28" s="116">
        <f t="shared" ref="F28:F29" si="3">E28/C28</f>
        <v>-3.5858562546958264</v>
      </c>
      <c r="G28" s="123"/>
      <c r="I28" s="123"/>
    </row>
    <row r="29" spans="2:9" x14ac:dyDescent="0.25">
      <c r="B29" t="s">
        <v>581</v>
      </c>
      <c r="C29" s="200">
        <f>C95</f>
        <v>1704031.2</v>
      </c>
      <c r="D29" s="8">
        <v>8850255</v>
      </c>
      <c r="E29" s="105">
        <f t="shared" si="2"/>
        <v>-7146223.7999999998</v>
      </c>
      <c r="F29" s="116">
        <f t="shared" si="3"/>
        <v>-4.1937165235002736</v>
      </c>
      <c r="G29" s="123"/>
      <c r="I29" s="123"/>
    </row>
    <row r="30" spans="2:9" x14ac:dyDescent="0.25">
      <c r="B30" s="19" t="s">
        <v>553</v>
      </c>
      <c r="C30" s="120">
        <f>SUM(C27:C29)</f>
        <v>127763320.49000002</v>
      </c>
      <c r="D30" s="120">
        <f>SUM(D27:D29)</f>
        <v>177664991.55000001</v>
      </c>
      <c r="E30" s="129">
        <f>C30-D30</f>
        <v>-49901671.059999987</v>
      </c>
      <c r="F30" s="143">
        <f>E30/C30</f>
        <v>-0.39057900865926359</v>
      </c>
      <c r="G30" s="125"/>
      <c r="I30" s="125"/>
    </row>
    <row r="31" spans="2:9" x14ac:dyDescent="0.25">
      <c r="G31" s="112"/>
      <c r="H31" s="20"/>
      <c r="I31" s="20"/>
    </row>
    <row r="32" spans="2:9" x14ac:dyDescent="0.25">
      <c r="H32" s="20"/>
      <c r="I32" s="20"/>
    </row>
    <row r="33" spans="2:9" x14ac:dyDescent="0.25">
      <c r="B33" t="s">
        <v>652</v>
      </c>
      <c r="H33" s="20"/>
    </row>
    <row r="34" spans="2:9" x14ac:dyDescent="0.25">
      <c r="B34" t="s">
        <v>653</v>
      </c>
    </row>
    <row r="35" spans="2:9" x14ac:dyDescent="0.25">
      <c r="B35" t="s">
        <v>654</v>
      </c>
    </row>
    <row r="36" spans="2:9" x14ac:dyDescent="0.25">
      <c r="B36" s="19"/>
    </row>
    <row r="37" spans="2:9" x14ac:dyDescent="0.25">
      <c r="B37" s="19" t="s">
        <v>337</v>
      </c>
    </row>
    <row r="39" spans="2:9" x14ac:dyDescent="0.25">
      <c r="B39" s="19" t="s">
        <v>338</v>
      </c>
      <c r="H39" s="20"/>
    </row>
    <row r="40" spans="2:9" x14ac:dyDescent="0.25">
      <c r="C40" s="122">
        <v>2021</v>
      </c>
      <c r="D40" s="122">
        <v>2020</v>
      </c>
      <c r="E40" s="122" t="s">
        <v>574</v>
      </c>
      <c r="F40" s="122" t="s">
        <v>575</v>
      </c>
      <c r="G40" s="122"/>
      <c r="I40" s="122"/>
    </row>
    <row r="41" spans="2:9" x14ac:dyDescent="0.25">
      <c r="B41" s="126" t="s">
        <v>20</v>
      </c>
      <c r="C41" s="3">
        <f>16182199.86+65219067.13+3979631.17</f>
        <v>85380898.160000011</v>
      </c>
      <c r="D41" s="3">
        <v>17184511.719999999</v>
      </c>
      <c r="E41" s="20">
        <f>C41-D41</f>
        <v>68196386.440000013</v>
      </c>
      <c r="F41" s="155">
        <f>E41/C41</f>
        <v>0.79873119057851805</v>
      </c>
      <c r="G41" s="123"/>
      <c r="I41" s="123"/>
    </row>
    <row r="42" spans="2:9" x14ac:dyDescent="0.25">
      <c r="B42" s="126" t="s">
        <v>176</v>
      </c>
      <c r="C42" s="3">
        <v>14760569.82</v>
      </c>
      <c r="D42" s="3">
        <v>18563512.280000001</v>
      </c>
      <c r="E42" s="20">
        <f t="shared" ref="E42:E63" si="4">C42-D42</f>
        <v>-3802942.4600000009</v>
      </c>
      <c r="F42" s="155">
        <f t="shared" ref="F42:F63" si="5">E42/C42</f>
        <v>-0.25764198173753167</v>
      </c>
      <c r="G42" s="123"/>
      <c r="I42" s="123"/>
    </row>
    <row r="43" spans="2:9" x14ac:dyDescent="0.25">
      <c r="B43" s="126" t="s">
        <v>21</v>
      </c>
      <c r="C43" s="3">
        <v>0</v>
      </c>
      <c r="D43" s="3">
        <v>7972222.8300000001</v>
      </c>
      <c r="E43" s="20">
        <f t="shared" si="4"/>
        <v>-7972222.8300000001</v>
      </c>
      <c r="F43" s="155">
        <v>0</v>
      </c>
      <c r="G43" s="123"/>
      <c r="I43" s="123"/>
    </row>
    <row r="44" spans="2:9" x14ac:dyDescent="0.25">
      <c r="B44" s="126" t="s">
        <v>22</v>
      </c>
      <c r="C44" s="3">
        <v>5711829.7699999996</v>
      </c>
      <c r="D44" s="3">
        <v>20748942.719999999</v>
      </c>
      <c r="E44" s="20">
        <f t="shared" si="4"/>
        <v>-15037112.949999999</v>
      </c>
      <c r="F44" s="155">
        <f t="shared" si="5"/>
        <v>-2.6326262433412824</v>
      </c>
      <c r="G44" s="123"/>
      <c r="H44" s="75"/>
      <c r="I44" s="123"/>
    </row>
    <row r="45" spans="2:9" x14ac:dyDescent="0.25">
      <c r="B45" s="126" t="s">
        <v>23</v>
      </c>
      <c r="C45" s="3">
        <v>3310073.39</v>
      </c>
      <c r="D45" s="48">
        <v>27269615.129999999</v>
      </c>
      <c r="E45" s="20">
        <f t="shared" si="4"/>
        <v>-23959541.739999998</v>
      </c>
      <c r="F45" s="155">
        <f t="shared" si="5"/>
        <v>-7.2383717570685038</v>
      </c>
      <c r="G45" s="123"/>
      <c r="I45" s="123"/>
    </row>
    <row r="46" spans="2:9" x14ac:dyDescent="0.25">
      <c r="B46" s="126" t="s">
        <v>24</v>
      </c>
      <c r="C46" s="3">
        <v>2077263.25</v>
      </c>
      <c r="D46" s="3">
        <v>11987278.76</v>
      </c>
      <c r="E46" s="20">
        <f t="shared" si="4"/>
        <v>-9910015.5099999998</v>
      </c>
      <c r="F46" s="155">
        <f t="shared" si="5"/>
        <v>-4.7707075692019298</v>
      </c>
      <c r="G46" s="123"/>
      <c r="I46" s="123"/>
    </row>
    <row r="47" spans="2:9" x14ac:dyDescent="0.25">
      <c r="B47" s="126" t="s">
        <v>25</v>
      </c>
      <c r="C47" s="3">
        <v>4690554.8499999996</v>
      </c>
      <c r="D47" s="3">
        <v>17918600.530000001</v>
      </c>
      <c r="E47" s="20">
        <f t="shared" si="4"/>
        <v>-13228045.680000002</v>
      </c>
      <c r="F47" s="155">
        <f t="shared" si="5"/>
        <v>-2.8201451860220765</v>
      </c>
      <c r="G47" s="123"/>
      <c r="I47" s="123"/>
    </row>
    <row r="48" spans="2:9" x14ac:dyDescent="0.25">
      <c r="B48" s="126" t="s">
        <v>26</v>
      </c>
      <c r="C48" s="3">
        <v>771101.5</v>
      </c>
      <c r="D48" s="3">
        <v>4506184.4400000004</v>
      </c>
      <c r="E48" s="20">
        <f t="shared" si="4"/>
        <v>-3735082.9400000004</v>
      </c>
      <c r="F48" s="155">
        <f t="shared" si="5"/>
        <v>-4.8438278747998806</v>
      </c>
      <c r="G48" s="123"/>
      <c r="I48" s="123"/>
    </row>
    <row r="49" spans="2:9" x14ac:dyDescent="0.25">
      <c r="B49" s="126" t="s">
        <v>27</v>
      </c>
      <c r="C49" s="3">
        <v>172147.46</v>
      </c>
      <c r="D49" s="3">
        <v>2414705.2799999998</v>
      </c>
      <c r="E49" s="20">
        <f t="shared" si="4"/>
        <v>-2242557.8199999998</v>
      </c>
      <c r="F49" s="155">
        <f t="shared" si="5"/>
        <v>-13.026958515681846</v>
      </c>
      <c r="G49" s="123"/>
      <c r="I49" s="123"/>
    </row>
    <row r="50" spans="2:9" x14ac:dyDescent="0.25">
      <c r="B50" s="126" t="s">
        <v>28</v>
      </c>
      <c r="C50" s="3">
        <v>1532157.87</v>
      </c>
      <c r="D50" s="3">
        <v>9025335.5800000001</v>
      </c>
      <c r="E50" s="20">
        <f t="shared" si="4"/>
        <v>-7493177.71</v>
      </c>
      <c r="F50" s="155">
        <f t="shared" si="5"/>
        <v>-4.8906041973337899</v>
      </c>
      <c r="G50" s="123"/>
      <c r="I50" s="123"/>
    </row>
    <row r="51" spans="2:9" x14ac:dyDescent="0.25">
      <c r="B51" s="126" t="s">
        <v>29</v>
      </c>
      <c r="C51" s="3">
        <v>0</v>
      </c>
      <c r="D51" s="3">
        <v>3860884.11</v>
      </c>
      <c r="E51" s="20">
        <f t="shared" si="4"/>
        <v>-3860884.11</v>
      </c>
      <c r="F51" s="155">
        <v>0</v>
      </c>
      <c r="G51" s="123"/>
      <c r="I51" s="123"/>
    </row>
    <row r="52" spans="2:9" x14ac:dyDescent="0.25">
      <c r="B52" s="1" t="s">
        <v>30</v>
      </c>
      <c r="C52" s="3">
        <v>211547.79</v>
      </c>
      <c r="D52" s="3">
        <v>2461463.56</v>
      </c>
      <c r="E52" s="20">
        <f t="shared" si="4"/>
        <v>-2249915.77</v>
      </c>
      <c r="F52" s="155">
        <f t="shared" si="5"/>
        <v>-10.635496452125546</v>
      </c>
      <c r="G52" s="123"/>
      <c r="I52" s="123"/>
    </row>
    <row r="53" spans="2:9" x14ac:dyDescent="0.25">
      <c r="B53" s="126" t="s">
        <v>31</v>
      </c>
      <c r="C53" s="3">
        <v>370484.26</v>
      </c>
      <c r="D53" s="3">
        <v>104290.75</v>
      </c>
      <c r="E53" s="20">
        <f t="shared" si="4"/>
        <v>266193.51</v>
      </c>
      <c r="F53" s="155">
        <f t="shared" si="5"/>
        <v>0.71850153634057223</v>
      </c>
      <c r="G53" s="123"/>
      <c r="I53" s="123"/>
    </row>
    <row r="54" spans="2:9" x14ac:dyDescent="0.25">
      <c r="B54" s="1" t="s">
        <v>32</v>
      </c>
      <c r="C54" s="3">
        <v>987436.16</v>
      </c>
      <c r="D54" s="3">
        <v>880410.93</v>
      </c>
      <c r="E54" s="20">
        <f t="shared" si="4"/>
        <v>107025.22999999998</v>
      </c>
      <c r="F54" s="155">
        <f t="shared" si="5"/>
        <v>0.10838698675973137</v>
      </c>
      <c r="G54" s="123"/>
      <c r="I54" s="123"/>
    </row>
    <row r="55" spans="2:9" x14ac:dyDescent="0.25">
      <c r="B55" s="1" t="s">
        <v>33</v>
      </c>
      <c r="C55" s="3">
        <v>120621.27</v>
      </c>
      <c r="D55" s="3">
        <v>2825739.6</v>
      </c>
      <c r="E55" s="20">
        <f t="shared" si="4"/>
        <v>-2705118.33</v>
      </c>
      <c r="F55" s="155">
        <f t="shared" si="5"/>
        <v>-22.426544920311319</v>
      </c>
      <c r="G55" s="123"/>
      <c r="I55" s="123"/>
    </row>
    <row r="56" spans="2:9" x14ac:dyDescent="0.25">
      <c r="B56" s="126" t="s">
        <v>34</v>
      </c>
      <c r="C56" s="3">
        <v>230671.64</v>
      </c>
      <c r="D56" s="3">
        <v>293098.73</v>
      </c>
      <c r="E56" s="20">
        <f t="shared" si="4"/>
        <v>-62427.089999999967</v>
      </c>
      <c r="F56" s="155">
        <f t="shared" si="5"/>
        <v>-0.27063183840024707</v>
      </c>
      <c r="G56" s="123"/>
      <c r="I56" s="123"/>
    </row>
    <row r="57" spans="2:9" x14ac:dyDescent="0.25">
      <c r="B57" s="126" t="s">
        <v>35</v>
      </c>
      <c r="C57" s="3">
        <v>564916.5</v>
      </c>
      <c r="D57" s="3">
        <v>3116461.08</v>
      </c>
      <c r="E57" s="20">
        <f t="shared" si="4"/>
        <v>-2551544.58</v>
      </c>
      <c r="F57" s="155">
        <f t="shared" si="5"/>
        <v>-4.5166756148917582</v>
      </c>
      <c r="G57" s="123"/>
      <c r="I57" s="123"/>
    </row>
    <row r="58" spans="2:9" x14ac:dyDescent="0.25">
      <c r="B58" s="126" t="s">
        <v>36</v>
      </c>
      <c r="C58" s="3">
        <v>631067.48</v>
      </c>
      <c r="D58" s="48">
        <v>4856624.76</v>
      </c>
      <c r="E58" s="20">
        <f t="shared" si="4"/>
        <v>-4225557.2799999993</v>
      </c>
      <c r="F58" s="155">
        <f t="shared" si="5"/>
        <v>-6.6958881798187404</v>
      </c>
      <c r="G58" s="123"/>
      <c r="I58" s="123"/>
    </row>
    <row r="59" spans="2:9" x14ac:dyDescent="0.25">
      <c r="B59" s="126" t="s">
        <v>37</v>
      </c>
      <c r="C59" s="3">
        <v>372647.74</v>
      </c>
      <c r="D59" s="3">
        <v>218848.13</v>
      </c>
      <c r="E59" s="20">
        <f t="shared" si="4"/>
        <v>153799.60999999999</v>
      </c>
      <c r="F59" s="155">
        <f t="shared" si="5"/>
        <v>0.41272116664386582</v>
      </c>
      <c r="G59" s="123"/>
      <c r="I59" s="123"/>
    </row>
    <row r="60" spans="2:9" x14ac:dyDescent="0.25">
      <c r="B60" s="126" t="s">
        <v>38</v>
      </c>
      <c r="C60" s="3">
        <v>0</v>
      </c>
      <c r="D60" s="3">
        <v>0</v>
      </c>
      <c r="E60" s="20">
        <f t="shared" si="4"/>
        <v>0</v>
      </c>
      <c r="F60" s="155">
        <v>0</v>
      </c>
      <c r="G60" s="123"/>
      <c r="I60" s="123"/>
    </row>
    <row r="61" spans="2:9" x14ac:dyDescent="0.25">
      <c r="B61" s="126" t="s">
        <v>39</v>
      </c>
      <c r="C61" s="3">
        <v>2970073.39</v>
      </c>
      <c r="D61" s="3">
        <v>5269769.34</v>
      </c>
      <c r="E61" s="20">
        <f t="shared" si="4"/>
        <v>-2299695.9499999997</v>
      </c>
      <c r="F61" s="155">
        <f t="shared" si="5"/>
        <v>-0.77428926764668249</v>
      </c>
      <c r="G61" s="123"/>
      <c r="I61" s="123"/>
    </row>
    <row r="62" spans="2:9" x14ac:dyDescent="0.25">
      <c r="B62" s="126" t="s">
        <v>40</v>
      </c>
      <c r="C62" s="3">
        <v>99019.09</v>
      </c>
      <c r="D62" s="48">
        <v>2600060.62</v>
      </c>
      <c r="E62" s="20">
        <f t="shared" si="4"/>
        <v>-2501041.5300000003</v>
      </c>
      <c r="F62" s="155">
        <f t="shared" si="5"/>
        <v>-25.258175267011648</v>
      </c>
      <c r="G62" s="123"/>
      <c r="I62" s="123"/>
    </row>
    <row r="63" spans="2:9" x14ac:dyDescent="0.25">
      <c r="B63" s="1" t="s">
        <v>573</v>
      </c>
      <c r="C63" s="51">
        <v>61428.98</v>
      </c>
      <c r="D63" s="48">
        <v>0</v>
      </c>
      <c r="E63" s="20">
        <f t="shared" si="4"/>
        <v>61428.98</v>
      </c>
      <c r="F63" s="155">
        <f t="shared" si="5"/>
        <v>1</v>
      </c>
      <c r="G63" s="123"/>
      <c r="I63" s="123"/>
    </row>
    <row r="64" spans="2:9" x14ac:dyDescent="0.25">
      <c r="B64" s="6" t="s">
        <v>41</v>
      </c>
      <c r="C64" s="128">
        <f>SUM(C41:C63)</f>
        <v>125026510.37000002</v>
      </c>
      <c r="D64" s="128">
        <f>SUM(D41:D63)</f>
        <v>164078560.88000003</v>
      </c>
      <c r="E64" s="120">
        <f>C64-D64</f>
        <v>-39052050.510000005</v>
      </c>
      <c r="F64" s="143">
        <f>E64/C64</f>
        <v>-0.31235015993352483</v>
      </c>
      <c r="G64" s="125"/>
      <c r="I64" s="112"/>
    </row>
    <row r="65" spans="1:10" x14ac:dyDescent="0.25">
      <c r="G65" s="112"/>
      <c r="J65" s="75"/>
    </row>
    <row r="66" spans="1:10" x14ac:dyDescent="0.25">
      <c r="B66" s="1" t="s">
        <v>604</v>
      </c>
      <c r="C66" s="77"/>
      <c r="D66" s="77"/>
      <c r="E66" s="77"/>
      <c r="F66" s="77"/>
      <c r="G66" s="112"/>
      <c r="I66" s="75"/>
    </row>
    <row r="67" spans="1:10" x14ac:dyDescent="0.25">
      <c r="B67" s="1" t="s">
        <v>605</v>
      </c>
      <c r="C67" s="77"/>
      <c r="D67" s="77"/>
      <c r="E67" s="77"/>
      <c r="F67" s="77"/>
    </row>
    <row r="68" spans="1:10" x14ac:dyDescent="0.25">
      <c r="B68" s="1"/>
    </row>
    <row r="69" spans="1:10" x14ac:dyDescent="0.25">
      <c r="B69" s="19" t="s">
        <v>339</v>
      </c>
    </row>
    <row r="71" spans="1:10" x14ac:dyDescent="0.25">
      <c r="B71" s="77" t="s">
        <v>606</v>
      </c>
      <c r="C71" s="77"/>
      <c r="D71" s="77"/>
      <c r="E71" s="77"/>
      <c r="F71" s="77"/>
      <c r="G71" s="77"/>
      <c r="H71" s="19"/>
    </row>
    <row r="72" spans="1:10" x14ac:dyDescent="0.25">
      <c r="A72" s="19"/>
      <c r="B72" s="77" t="s">
        <v>607</v>
      </c>
      <c r="C72" s="77"/>
      <c r="D72" s="77"/>
      <c r="E72" s="77"/>
      <c r="F72" s="77"/>
      <c r="G72" s="77"/>
      <c r="H72" s="19"/>
    </row>
    <row r="73" spans="1:10" x14ac:dyDescent="0.25">
      <c r="G73" s="112"/>
    </row>
    <row r="74" spans="1:10" x14ac:dyDescent="0.25">
      <c r="B74" s="19" t="s">
        <v>10</v>
      </c>
      <c r="C74" s="122">
        <v>2021</v>
      </c>
      <c r="D74" s="122">
        <v>2020</v>
      </c>
      <c r="E74" s="122" t="s">
        <v>574</v>
      </c>
      <c r="F74" s="122" t="s">
        <v>575</v>
      </c>
      <c r="G74" s="122"/>
      <c r="I74" s="122"/>
    </row>
    <row r="75" spans="1:10" x14ac:dyDescent="0.25">
      <c r="B75" s="126" t="s">
        <v>42</v>
      </c>
      <c r="C75" s="3">
        <v>0</v>
      </c>
      <c r="D75" s="3">
        <v>2520236.2599999998</v>
      </c>
      <c r="E75" s="20">
        <f>C75-D75</f>
        <v>-2520236.2599999998</v>
      </c>
      <c r="F75" s="231">
        <v>0</v>
      </c>
      <c r="G75" s="231"/>
      <c r="I75" s="123"/>
    </row>
    <row r="76" spans="1:10" x14ac:dyDescent="0.25">
      <c r="B76" s="126" t="s">
        <v>43</v>
      </c>
      <c r="C76" s="3">
        <v>423050.92</v>
      </c>
      <c r="D76" s="3">
        <v>669793.52</v>
      </c>
      <c r="E76" s="20">
        <f t="shared" ref="E76:E82" si="6">C76-D76</f>
        <v>-246742.60000000003</v>
      </c>
      <c r="F76" s="231">
        <f t="shared" ref="F76:F82" si="7">E76/C76</f>
        <v>-0.58324562915499634</v>
      </c>
      <c r="G76" s="231"/>
      <c r="I76" s="123"/>
    </row>
    <row r="77" spans="1:10" x14ac:dyDescent="0.25">
      <c r="A77" s="19"/>
      <c r="B77" s="126" t="s">
        <v>44</v>
      </c>
      <c r="C77" s="3">
        <v>106964</v>
      </c>
      <c r="D77" s="3">
        <v>1507241.61</v>
      </c>
      <c r="E77" s="20">
        <f t="shared" si="6"/>
        <v>-1400277.61</v>
      </c>
      <c r="F77" s="231">
        <f t="shared" si="7"/>
        <v>-13.091111121498823</v>
      </c>
      <c r="G77" s="231"/>
      <c r="I77" s="123"/>
    </row>
    <row r="78" spans="1:10" x14ac:dyDescent="0.25">
      <c r="B78" s="126" t="s">
        <v>45</v>
      </c>
      <c r="C78" s="3">
        <v>0</v>
      </c>
      <c r="D78" s="3"/>
      <c r="E78" s="20">
        <f t="shared" si="6"/>
        <v>0</v>
      </c>
      <c r="F78" s="231">
        <v>0</v>
      </c>
      <c r="G78" s="231"/>
      <c r="I78" s="123"/>
    </row>
    <row r="79" spans="1:10" x14ac:dyDescent="0.25">
      <c r="B79" s="126" t="s">
        <v>46</v>
      </c>
      <c r="C79" s="3">
        <v>0</v>
      </c>
      <c r="D79" s="3"/>
      <c r="E79" s="20">
        <f t="shared" si="6"/>
        <v>0</v>
      </c>
      <c r="F79" s="231">
        <v>0</v>
      </c>
      <c r="G79" s="231"/>
      <c r="I79" s="123"/>
    </row>
    <row r="80" spans="1:10" x14ac:dyDescent="0.25">
      <c r="B80" s="126" t="s">
        <v>266</v>
      </c>
      <c r="C80" s="3">
        <v>0</v>
      </c>
      <c r="D80" s="3">
        <v>0</v>
      </c>
      <c r="E80" s="20">
        <f t="shared" si="6"/>
        <v>0</v>
      </c>
      <c r="F80" s="231">
        <v>0</v>
      </c>
      <c r="G80" s="231"/>
      <c r="I80" s="123"/>
    </row>
    <row r="81" spans="2:7" x14ac:dyDescent="0.25">
      <c r="B81" s="1" t="s">
        <v>276</v>
      </c>
      <c r="C81" s="3">
        <v>502764</v>
      </c>
      <c r="D81" s="3">
        <v>0</v>
      </c>
      <c r="E81" s="20">
        <f t="shared" si="6"/>
        <v>502764</v>
      </c>
      <c r="F81" s="231">
        <f t="shared" si="7"/>
        <v>1</v>
      </c>
      <c r="G81" s="231"/>
    </row>
    <row r="82" spans="2:7" x14ac:dyDescent="0.25">
      <c r="B82" s="126" t="s">
        <v>47</v>
      </c>
      <c r="C82" s="218">
        <v>0</v>
      </c>
      <c r="D82" s="8">
        <v>38904.28</v>
      </c>
      <c r="E82" s="20">
        <f t="shared" si="6"/>
        <v>-38904.28</v>
      </c>
      <c r="F82" s="231" t="e">
        <f t="shared" si="7"/>
        <v>#DIV/0!</v>
      </c>
      <c r="G82" s="231"/>
    </row>
    <row r="83" spans="2:7" x14ac:dyDescent="0.25">
      <c r="B83" s="6" t="s">
        <v>48</v>
      </c>
      <c r="C83" s="179">
        <f>SUM(C75:C82)</f>
        <v>1032778.9199999999</v>
      </c>
      <c r="D83" s="128">
        <f t="shared" ref="D83" si="8">SUM(D75:D82)</f>
        <v>4736175.67</v>
      </c>
      <c r="E83" s="120">
        <f>C83-D83</f>
        <v>-3703396.75</v>
      </c>
      <c r="F83" s="240">
        <f>E83/C83</f>
        <v>-3.5858562546958264</v>
      </c>
      <c r="G83" s="258"/>
    </row>
    <row r="84" spans="2:7" x14ac:dyDescent="0.25">
      <c r="G84" s="112"/>
    </row>
    <row r="85" spans="2:7" x14ac:dyDescent="0.25">
      <c r="G85" s="112"/>
    </row>
    <row r="86" spans="2:7" x14ac:dyDescent="0.25">
      <c r="B86" s="170" t="s">
        <v>554</v>
      </c>
      <c r="C86" t="s">
        <v>235</v>
      </c>
      <c r="G86" s="112"/>
    </row>
    <row r="87" spans="2:7" x14ac:dyDescent="0.25">
      <c r="G87" s="112"/>
    </row>
    <row r="88" spans="2:7" x14ac:dyDescent="0.25">
      <c r="B88" t="s">
        <v>608</v>
      </c>
      <c r="G88" s="112"/>
    </row>
    <row r="89" spans="2:7" x14ac:dyDescent="0.25">
      <c r="B89" t="s">
        <v>582</v>
      </c>
      <c r="G89" s="112"/>
    </row>
    <row r="90" spans="2:7" x14ac:dyDescent="0.25">
      <c r="G90" s="112"/>
    </row>
    <row r="91" spans="2:7" x14ac:dyDescent="0.25">
      <c r="G91" s="112"/>
    </row>
    <row r="92" spans="2:7" x14ac:dyDescent="0.25">
      <c r="B92" s="19" t="s">
        <v>345</v>
      </c>
      <c r="C92" s="122">
        <v>2021</v>
      </c>
      <c r="D92" s="122">
        <v>2020</v>
      </c>
      <c r="E92" s="122" t="s">
        <v>574</v>
      </c>
      <c r="F92" s="122" t="s">
        <v>575</v>
      </c>
      <c r="G92" s="122"/>
    </row>
    <row r="93" spans="2:7" x14ac:dyDescent="0.25">
      <c r="B93" s="1" t="s">
        <v>274</v>
      </c>
      <c r="C93" s="3">
        <v>264002.73</v>
      </c>
      <c r="D93" s="8">
        <v>8850255</v>
      </c>
      <c r="E93" s="105">
        <f>C93-D93</f>
        <v>-8586252.2699999996</v>
      </c>
      <c r="F93" s="116">
        <f>E93/C93</f>
        <v>-32.523346519939395</v>
      </c>
      <c r="G93" s="123"/>
    </row>
    <row r="94" spans="2:7" x14ac:dyDescent="0.25">
      <c r="B94" s="1" t="s">
        <v>275</v>
      </c>
      <c r="C94" s="3">
        <v>1440028.47</v>
      </c>
      <c r="D94" s="8">
        <v>0</v>
      </c>
      <c r="E94" s="105">
        <f t="shared" ref="E94" si="9">C94-D94</f>
        <v>1440028.47</v>
      </c>
      <c r="F94" s="246">
        <f t="shared" ref="F94" si="10">E94/C94</f>
        <v>1</v>
      </c>
      <c r="G94" s="123"/>
    </row>
    <row r="95" spans="2:7" x14ac:dyDescent="0.25">
      <c r="B95" s="19" t="s">
        <v>560</v>
      </c>
      <c r="C95" s="128">
        <f>SUM(C93:C94)</f>
        <v>1704031.2</v>
      </c>
      <c r="D95" s="128">
        <f>SUM(D93:D94)</f>
        <v>8850255</v>
      </c>
      <c r="E95" s="129">
        <f>C95-D95</f>
        <v>-7146223.7999999998</v>
      </c>
      <c r="F95" s="259">
        <f>E95/C95</f>
        <v>-4.1937165235002736</v>
      </c>
      <c r="G95" s="125"/>
    </row>
    <row r="96" spans="2:7" x14ac:dyDescent="0.25">
      <c r="F96" s="112"/>
      <c r="G96" s="112"/>
    </row>
    <row r="97" spans="2:9" x14ac:dyDescent="0.25">
      <c r="G97" s="112"/>
    </row>
    <row r="98" spans="2:9" x14ac:dyDescent="0.25">
      <c r="G98" s="112"/>
    </row>
    <row r="99" spans="2:9" x14ac:dyDescent="0.25">
      <c r="B99" s="19" t="s">
        <v>340</v>
      </c>
      <c r="F99" s="105" t="s">
        <v>235</v>
      </c>
      <c r="G99" s="105"/>
    </row>
    <row r="101" spans="2:9" x14ac:dyDescent="0.25">
      <c r="B101" t="s">
        <v>656</v>
      </c>
      <c r="C101" s="77"/>
    </row>
    <row r="102" spans="2:9" x14ac:dyDescent="0.25">
      <c r="B102" t="s">
        <v>657</v>
      </c>
      <c r="C102" s="77"/>
    </row>
    <row r="103" spans="2:9" x14ac:dyDescent="0.25">
      <c r="B103" t="s">
        <v>655</v>
      </c>
      <c r="C103" s="77"/>
    </row>
    <row r="105" spans="2:9" x14ac:dyDescent="0.25">
      <c r="B105" s="197" t="s">
        <v>10</v>
      </c>
      <c r="C105" s="239">
        <v>2021</v>
      </c>
      <c r="D105" s="239">
        <v>2020</v>
      </c>
      <c r="E105" s="239" t="s">
        <v>574</v>
      </c>
      <c r="F105" s="239" t="s">
        <v>575</v>
      </c>
      <c r="G105" s="122"/>
      <c r="I105" s="122"/>
    </row>
    <row r="106" spans="2:9" x14ac:dyDescent="0.25">
      <c r="B106" s="1" t="s">
        <v>50</v>
      </c>
      <c r="C106" s="3">
        <v>80025278.200000003</v>
      </c>
      <c r="D106" s="3">
        <f>51816197.92</f>
        <v>51816197.920000002</v>
      </c>
      <c r="E106" s="105">
        <f>C106-D106</f>
        <v>28209080.280000001</v>
      </c>
      <c r="F106" s="155">
        <f>E106/C106</f>
        <v>0.35250212076113718</v>
      </c>
      <c r="G106" s="123"/>
      <c r="I106" s="123"/>
    </row>
    <row r="107" spans="2:9" x14ac:dyDescent="0.25">
      <c r="B107" s="1" t="s">
        <v>51</v>
      </c>
      <c r="C107" s="3">
        <v>2442894.2000000002</v>
      </c>
      <c r="D107" s="3">
        <v>2913222.47</v>
      </c>
      <c r="E107" s="105">
        <f>C107-D107</f>
        <v>-470328.27</v>
      </c>
      <c r="F107" s="155">
        <f t="shared" ref="F107" si="11">E107/C107</f>
        <v>-0.19252911976294348</v>
      </c>
      <c r="G107" s="123"/>
      <c r="I107" s="123"/>
    </row>
    <row r="108" spans="2:9" x14ac:dyDescent="0.25">
      <c r="B108" s="19" t="s">
        <v>52</v>
      </c>
      <c r="C108" s="120">
        <f>SUM(C106:C107)</f>
        <v>82468172.400000006</v>
      </c>
      <c r="D108" s="128">
        <f>SUM(D106:D107)</f>
        <v>54729420.390000001</v>
      </c>
      <c r="E108" s="241">
        <f>C108-D108</f>
        <v>27738752.010000005</v>
      </c>
      <c r="F108" s="143">
        <f>E108/C108</f>
        <v>0.33635705997529786</v>
      </c>
      <c r="G108" s="125"/>
      <c r="I108" s="125"/>
    </row>
    <row r="109" spans="2:9" x14ac:dyDescent="0.25">
      <c r="G109" s="112"/>
    </row>
    <row r="110" spans="2:9" x14ac:dyDescent="0.25">
      <c r="E110" t="s">
        <v>235</v>
      </c>
      <c r="G110" s="112"/>
    </row>
    <row r="111" spans="2:9" x14ac:dyDescent="0.25">
      <c r="E111" s="105"/>
    </row>
    <row r="112" spans="2:9" x14ac:dyDescent="0.25">
      <c r="B112" s="170" t="s">
        <v>341</v>
      </c>
      <c r="C112" s="171"/>
      <c r="D112" s="171"/>
      <c r="E112" s="171"/>
      <c r="F112" s="171"/>
      <c r="G112" s="171"/>
      <c r="H112" s="171"/>
    </row>
    <row r="113" spans="2:9" x14ac:dyDescent="0.25">
      <c r="B113" s="170"/>
      <c r="C113" s="171"/>
      <c r="D113" s="171"/>
      <c r="E113" s="171"/>
      <c r="F113" s="171"/>
      <c r="G113" s="171"/>
      <c r="H113" s="171"/>
    </row>
    <row r="114" spans="2:9" x14ac:dyDescent="0.25">
      <c r="B114" s="171" t="s">
        <v>609</v>
      </c>
      <c r="C114" s="171"/>
      <c r="D114" s="171"/>
      <c r="E114" s="171"/>
      <c r="F114" s="170"/>
      <c r="G114" s="171"/>
      <c r="H114" s="171"/>
    </row>
    <row r="115" spans="2:9" x14ac:dyDescent="0.25">
      <c r="B115" s="171" t="s">
        <v>610</v>
      </c>
      <c r="C115" s="171"/>
      <c r="D115" s="171"/>
      <c r="E115" s="171"/>
      <c r="F115" s="171"/>
      <c r="G115" s="171"/>
      <c r="H115" s="171"/>
    </row>
    <row r="116" spans="2:9" x14ac:dyDescent="0.25">
      <c r="B116" s="171" t="s">
        <v>588</v>
      </c>
      <c r="C116" s="171"/>
      <c r="D116" s="171"/>
      <c r="E116" s="171"/>
      <c r="F116" s="171"/>
      <c r="G116" s="171"/>
      <c r="H116" s="171"/>
    </row>
    <row r="117" spans="2:9" x14ac:dyDescent="0.25">
      <c r="B117" s="170"/>
      <c r="C117" s="171"/>
      <c r="D117" s="171"/>
      <c r="E117" s="171"/>
      <c r="F117" s="171"/>
      <c r="G117" s="171"/>
      <c r="H117" s="171"/>
    </row>
    <row r="118" spans="2:9" x14ac:dyDescent="0.25">
      <c r="B118" s="230" t="s">
        <v>10</v>
      </c>
      <c r="C118" s="243">
        <v>2021</v>
      </c>
      <c r="D118" s="243">
        <v>2020</v>
      </c>
      <c r="E118" s="239" t="s">
        <v>574</v>
      </c>
      <c r="F118" s="239" t="s">
        <v>575</v>
      </c>
      <c r="G118" s="122"/>
      <c r="I118" s="122"/>
    </row>
    <row r="119" spans="2:9" x14ac:dyDescent="0.25">
      <c r="B119" s="181" t="s">
        <v>54</v>
      </c>
      <c r="C119" s="3">
        <v>18871.28</v>
      </c>
      <c r="D119" s="3">
        <v>12067.439999999999</v>
      </c>
      <c r="E119" s="20">
        <f>C119-D119</f>
        <v>6803.84</v>
      </c>
      <c r="F119" s="155">
        <f>E119/C119</f>
        <v>0.36053940167280651</v>
      </c>
      <c r="G119" s="123"/>
      <c r="H119" s="20"/>
      <c r="I119" s="267"/>
    </row>
    <row r="120" spans="2:9" x14ac:dyDescent="0.25">
      <c r="B120" s="181" t="s">
        <v>55</v>
      </c>
      <c r="C120" s="3">
        <v>790138.56</v>
      </c>
      <c r="D120" s="3">
        <v>12500.029999999988</v>
      </c>
      <c r="E120" s="20">
        <f t="shared" ref="E120:E123" si="12">C120-D120</f>
        <v>777638.53</v>
      </c>
      <c r="F120" s="155">
        <f t="shared" ref="F120:F123" si="13">E120/C120</f>
        <v>0.98417995193146879</v>
      </c>
      <c r="G120" s="123"/>
      <c r="H120" s="20"/>
      <c r="I120" s="267"/>
    </row>
    <row r="121" spans="2:9" x14ac:dyDescent="0.25">
      <c r="B121" s="181" t="s">
        <v>56</v>
      </c>
      <c r="C121" s="3">
        <v>259824.28</v>
      </c>
      <c r="D121" s="3">
        <v>166147.28000000009</v>
      </c>
      <c r="E121" s="20">
        <f t="shared" si="12"/>
        <v>93676.999999999913</v>
      </c>
      <c r="F121" s="155">
        <f t="shared" si="13"/>
        <v>0.36053982329903855</v>
      </c>
      <c r="G121" s="123"/>
      <c r="H121" s="20"/>
      <c r="I121" s="267"/>
    </row>
    <row r="122" spans="2:9" x14ac:dyDescent="0.25">
      <c r="B122" s="181" t="s">
        <v>57</v>
      </c>
      <c r="C122" s="3">
        <v>97504.2</v>
      </c>
      <c r="D122" s="3">
        <v>62350.049999999952</v>
      </c>
      <c r="E122" s="20">
        <f t="shared" si="12"/>
        <v>35154.150000000045</v>
      </c>
      <c r="F122" s="155">
        <f t="shared" si="13"/>
        <v>0.36053985366784247</v>
      </c>
      <c r="G122" s="123"/>
      <c r="H122" s="20"/>
      <c r="I122" s="267"/>
    </row>
    <row r="123" spans="2:9" x14ac:dyDescent="0.25">
      <c r="B123" s="181" t="s">
        <v>561</v>
      </c>
      <c r="C123" s="3">
        <v>241393.59</v>
      </c>
      <c r="D123" s="222">
        <v>0</v>
      </c>
      <c r="E123" s="20">
        <f t="shared" si="12"/>
        <v>241393.59</v>
      </c>
      <c r="F123" s="155">
        <f t="shared" si="13"/>
        <v>1</v>
      </c>
      <c r="G123" s="123"/>
      <c r="H123" s="20"/>
      <c r="I123" s="267"/>
    </row>
    <row r="124" spans="2:9" x14ac:dyDescent="0.25">
      <c r="B124" s="177" t="s">
        <v>58</v>
      </c>
      <c r="C124" s="189">
        <f>SUM(C119:C123)</f>
        <v>1407731.9100000001</v>
      </c>
      <c r="D124" s="189">
        <f>SUM(D119:D123)</f>
        <v>253064.80000000002</v>
      </c>
      <c r="E124" s="120">
        <f>C124-D124</f>
        <v>1154667.1100000001</v>
      </c>
      <c r="F124" s="244">
        <f>E124/C124</f>
        <v>0.82023224862466881</v>
      </c>
      <c r="G124" s="123"/>
      <c r="H124" s="20"/>
      <c r="I124" s="268"/>
    </row>
    <row r="125" spans="2:9" x14ac:dyDescent="0.25">
      <c r="B125" s="171"/>
      <c r="C125" s="171"/>
      <c r="D125" s="171"/>
      <c r="E125" s="171"/>
      <c r="F125" s="245"/>
      <c r="G125" s="171"/>
      <c r="H125" s="70"/>
      <c r="I125" s="75"/>
    </row>
    <row r="126" spans="2:9" x14ac:dyDescent="0.25">
      <c r="B126" s="171"/>
      <c r="C126" s="86"/>
      <c r="D126" s="171"/>
      <c r="E126" s="242"/>
      <c r="F126" s="182"/>
      <c r="G126" s="171"/>
      <c r="H126" s="182"/>
      <c r="I126" s="105"/>
    </row>
    <row r="127" spans="2:9" x14ac:dyDescent="0.25">
      <c r="H127" s="75"/>
    </row>
    <row r="128" spans="2:9" x14ac:dyDescent="0.25">
      <c r="B128" s="19" t="s">
        <v>342</v>
      </c>
      <c r="H128" s="75"/>
    </row>
    <row r="129" spans="2:8" x14ac:dyDescent="0.25">
      <c r="H129" s="75"/>
    </row>
    <row r="130" spans="2:8" x14ac:dyDescent="0.25">
      <c r="H130" s="75"/>
    </row>
    <row r="131" spans="2:8" ht="20.25" customHeight="1" x14ac:dyDescent="0.25">
      <c r="B131" s="256">
        <v>2021</v>
      </c>
      <c r="C131" s="170"/>
      <c r="D131" s="170"/>
      <c r="E131" s="170"/>
      <c r="F131" s="170"/>
      <c r="H131" s="75"/>
    </row>
    <row r="132" spans="2:8" ht="37.5" customHeight="1" x14ac:dyDescent="0.25">
      <c r="B132" s="201"/>
      <c r="C132" s="202" t="s">
        <v>60</v>
      </c>
      <c r="D132" s="202" t="s">
        <v>61</v>
      </c>
      <c r="E132" s="203" t="s">
        <v>62</v>
      </c>
      <c r="F132" s="204" t="s">
        <v>63</v>
      </c>
      <c r="H132" s="75"/>
    </row>
    <row r="133" spans="2:8" x14ac:dyDescent="0.25">
      <c r="B133" s="205" t="s">
        <v>183</v>
      </c>
      <c r="C133" s="211">
        <v>448686494.26999998</v>
      </c>
      <c r="D133" s="211">
        <v>118882588.33</v>
      </c>
      <c r="E133" s="212">
        <v>2050790.8</v>
      </c>
      <c r="F133" s="212">
        <f>SUM(C133:E133)</f>
        <v>569619873.39999998</v>
      </c>
      <c r="H133" s="75"/>
    </row>
    <row r="134" spans="2:8" x14ac:dyDescent="0.25">
      <c r="B134" s="206" t="s">
        <v>64</v>
      </c>
      <c r="C134" s="274">
        <v>0</v>
      </c>
      <c r="D134" s="274">
        <f>92984+148754.34+173424.6</f>
        <v>415162.94</v>
      </c>
      <c r="E134" s="274">
        <v>0</v>
      </c>
      <c r="F134" s="275">
        <f>SUM(C134:E134)</f>
        <v>415162.94</v>
      </c>
      <c r="H134" s="75"/>
    </row>
    <row r="135" spans="2:8" x14ac:dyDescent="0.25">
      <c r="B135" s="205" t="s">
        <v>580</v>
      </c>
      <c r="C135" s="215">
        <f>SUM(C133:C134)</f>
        <v>448686494.26999998</v>
      </c>
      <c r="D135" s="215">
        <f>SUM(D133:D134)</f>
        <v>119297751.27</v>
      </c>
      <c r="E135" s="216">
        <f>SUM(E133:E134)</f>
        <v>2050790.8</v>
      </c>
      <c r="F135" s="216">
        <f>SUM(F133:F134)</f>
        <v>570035036.34000003</v>
      </c>
      <c r="H135" s="75"/>
    </row>
    <row r="136" spans="2:8" x14ac:dyDescent="0.25">
      <c r="B136" s="205"/>
      <c r="C136" s="211"/>
      <c r="D136" s="211"/>
      <c r="E136" s="212"/>
      <c r="F136" s="212"/>
      <c r="H136" s="75"/>
    </row>
    <row r="137" spans="2:8" x14ac:dyDescent="0.25">
      <c r="B137" s="205" t="s">
        <v>67</v>
      </c>
      <c r="C137" s="207"/>
      <c r="D137" s="207"/>
      <c r="E137" s="208"/>
      <c r="F137" s="208">
        <f>C137+D137+E137</f>
        <v>0</v>
      </c>
      <c r="H137" s="75"/>
    </row>
    <row r="138" spans="2:8" x14ac:dyDescent="0.25">
      <c r="B138" s="206" t="s">
        <v>68</v>
      </c>
      <c r="C138" s="213">
        <v>-418233655.81</v>
      </c>
      <c r="D138" s="213">
        <v>-92692673.680000007</v>
      </c>
      <c r="E138" s="214">
        <v>-1607495.05</v>
      </c>
      <c r="F138" s="214">
        <f>SUM(C138:E138)</f>
        <v>-512533824.54000002</v>
      </c>
      <c r="H138" s="75"/>
    </row>
    <row r="139" spans="2:8" x14ac:dyDescent="0.25">
      <c r="B139" s="206" t="s">
        <v>69</v>
      </c>
      <c r="C139" s="274">
        <f>-1000930.82-168624.26</f>
        <v>-1169555.08</v>
      </c>
      <c r="D139" s="274">
        <f>-17087.82-164344.35-1563.6</f>
        <v>-182995.77000000002</v>
      </c>
      <c r="E139" s="275">
        <v>-3233.48</v>
      </c>
      <c r="F139" s="275">
        <f>SUM(C139:E139)</f>
        <v>-1355784.33</v>
      </c>
      <c r="H139" s="75"/>
    </row>
    <row r="140" spans="2:8" x14ac:dyDescent="0.25">
      <c r="B140" s="205" t="s">
        <v>70</v>
      </c>
      <c r="C140" s="215">
        <f>SUM(C138:C139)</f>
        <v>-419403210.88999999</v>
      </c>
      <c r="D140" s="215">
        <f>SUM(D138:D139)</f>
        <v>-92875669.450000003</v>
      </c>
      <c r="E140" s="216">
        <f>SUM(E138:E139)</f>
        <v>-1610728.53</v>
      </c>
      <c r="F140" s="216">
        <f>SUM(F138:F139)</f>
        <v>-513889608.87</v>
      </c>
      <c r="H140" s="75"/>
    </row>
    <row r="141" spans="2:8" ht="15.75" thickBot="1" x14ac:dyDescent="0.3">
      <c r="B141" s="177" t="s">
        <v>549</v>
      </c>
      <c r="C141" s="209">
        <f>+C135+C140</f>
        <v>29283283.379999995</v>
      </c>
      <c r="D141" s="209">
        <f>+D135+D140</f>
        <v>26422081.819999993</v>
      </c>
      <c r="E141" s="210">
        <f>+E135+E140</f>
        <v>440062.27</v>
      </c>
      <c r="F141" s="210">
        <f>+F135+F140</f>
        <v>56145427.470000029</v>
      </c>
      <c r="H141" s="75"/>
    </row>
    <row r="142" spans="2:8" ht="15.75" thickTop="1" x14ac:dyDescent="0.25">
      <c r="B142" s="171"/>
      <c r="C142" s="171"/>
      <c r="D142" s="171"/>
      <c r="E142" s="171"/>
      <c r="F142" s="171"/>
      <c r="H142" s="75"/>
    </row>
    <row r="143" spans="2:8" x14ac:dyDescent="0.25">
      <c r="B143" s="171"/>
      <c r="C143" s="69"/>
      <c r="D143" s="69"/>
      <c r="E143" s="69"/>
      <c r="F143" s="171"/>
      <c r="H143" s="75"/>
    </row>
    <row r="144" spans="2:8" x14ac:dyDescent="0.25">
      <c r="B144" s="256">
        <v>2020</v>
      </c>
      <c r="C144" s="170"/>
      <c r="D144" s="170"/>
      <c r="E144" s="170"/>
      <c r="F144" s="170"/>
      <c r="H144" s="75"/>
    </row>
    <row r="145" spans="2:9" ht="39.75" customHeight="1" x14ac:dyDescent="0.25">
      <c r="B145" s="201"/>
      <c r="C145" s="202" t="s">
        <v>60</v>
      </c>
      <c r="D145" s="202" t="s">
        <v>61</v>
      </c>
      <c r="E145" s="203" t="s">
        <v>62</v>
      </c>
      <c r="F145" s="204" t="s">
        <v>63</v>
      </c>
      <c r="H145" s="75"/>
    </row>
    <row r="146" spans="2:9" x14ac:dyDescent="0.25">
      <c r="B146" s="205" t="s">
        <v>183</v>
      </c>
      <c r="C146" s="283">
        <v>436361008.66000003</v>
      </c>
      <c r="D146" s="213">
        <v>113018668.55</v>
      </c>
      <c r="E146" s="204">
        <v>2050790.8</v>
      </c>
      <c r="F146" s="204">
        <f>SUM(A146:E146)</f>
        <v>551430468.00999999</v>
      </c>
      <c r="H146" s="75"/>
    </row>
    <row r="147" spans="2:9" ht="15.75" thickBot="1" x14ac:dyDescent="0.3">
      <c r="B147" s="206" t="s">
        <v>64</v>
      </c>
      <c r="C147" s="283">
        <f>256000.01+398795.16</f>
        <v>654795.16999999993</v>
      </c>
      <c r="D147" s="288">
        <v>1469088.39</v>
      </c>
      <c r="E147" s="265"/>
      <c r="F147" s="204">
        <f>SUM(A147:E147)</f>
        <v>2123883.5599999996</v>
      </c>
      <c r="H147" s="75"/>
    </row>
    <row r="148" spans="2:9" ht="15.75" thickBot="1" x14ac:dyDescent="0.3">
      <c r="B148" s="206" t="s">
        <v>66</v>
      </c>
      <c r="C148" s="286">
        <f>SUM(C146:C147)</f>
        <v>437015803.83000004</v>
      </c>
      <c r="D148" s="264">
        <f>SUM(D146:D147)</f>
        <v>114487756.94</v>
      </c>
      <c r="E148" s="266">
        <f>SUM(E146:E147)</f>
        <v>2050790.8</v>
      </c>
      <c r="F148" s="266">
        <f>SUM(F146:F147)</f>
        <v>553554351.56999993</v>
      </c>
      <c r="H148" s="75"/>
    </row>
    <row r="149" spans="2:9" ht="15.75" thickTop="1" x14ac:dyDescent="0.25">
      <c r="B149" s="205" t="s">
        <v>67</v>
      </c>
      <c r="C149" s="207"/>
      <c r="D149" s="207"/>
      <c r="E149" s="208"/>
      <c r="F149" s="208"/>
      <c r="H149" s="75"/>
    </row>
    <row r="150" spans="2:9" x14ac:dyDescent="0.25">
      <c r="B150" s="206" t="s">
        <v>68</v>
      </c>
      <c r="C150" s="283">
        <v>-360694221.14999998</v>
      </c>
      <c r="D150" s="283">
        <v>-78461381.200000003</v>
      </c>
      <c r="E150" s="284">
        <v>-1423139.29</v>
      </c>
      <c r="F150" s="204">
        <f>SUM(A150:E150)</f>
        <v>-440578741.63999999</v>
      </c>
      <c r="H150" s="75"/>
      <c r="I150" s="20"/>
    </row>
    <row r="151" spans="2:9" x14ac:dyDescent="0.25">
      <c r="B151" s="206" t="s">
        <v>69</v>
      </c>
      <c r="C151" s="274">
        <v>-11827818.73</v>
      </c>
      <c r="D151" s="274">
        <v>-2970929.71</v>
      </c>
      <c r="E151" s="275">
        <v>-38809.22</v>
      </c>
      <c r="F151" s="216">
        <f>SUM(A151:E151)</f>
        <v>-14837557.660000002</v>
      </c>
      <c r="H151" s="75"/>
      <c r="I151" s="20"/>
    </row>
    <row r="152" spans="2:9" ht="15.75" thickBot="1" x14ac:dyDescent="0.3">
      <c r="B152" s="206" t="s">
        <v>70</v>
      </c>
      <c r="C152" s="288">
        <f>SUM(C150:C151)</f>
        <v>-372522039.88</v>
      </c>
      <c r="D152" s="288">
        <f t="shared" ref="D152:F152" si="14">SUM(D150:D151)</f>
        <v>-81432310.909999996</v>
      </c>
      <c r="E152" s="288">
        <f t="shared" si="14"/>
        <v>-1461948.51</v>
      </c>
      <c r="F152" s="288">
        <f t="shared" si="14"/>
        <v>-455416299.30000001</v>
      </c>
      <c r="H152" s="75"/>
      <c r="I152" s="20"/>
    </row>
    <row r="153" spans="2:9" ht="15.75" thickBot="1" x14ac:dyDescent="0.3">
      <c r="B153" s="177" t="s">
        <v>184</v>
      </c>
      <c r="C153" s="286">
        <f>C148+C152</f>
        <v>64493763.950000048</v>
      </c>
      <c r="D153" s="286">
        <f t="shared" ref="D153:F153" si="15">D148+D152</f>
        <v>33055446.030000001</v>
      </c>
      <c r="E153" s="286">
        <f t="shared" si="15"/>
        <v>588842.29</v>
      </c>
      <c r="F153" s="286">
        <f t="shared" si="15"/>
        <v>98138052.269999921</v>
      </c>
      <c r="H153" s="75"/>
      <c r="I153" s="75"/>
    </row>
    <row r="154" spans="2:9" ht="15.75" thickTop="1" x14ac:dyDescent="0.25">
      <c r="C154" s="213"/>
      <c r="H154" s="75"/>
    </row>
    <row r="155" spans="2:9" x14ac:dyDescent="0.25">
      <c r="H155" s="75">
        <f>-41992624.8/56145427.47</f>
        <v>-0.74792599668847082</v>
      </c>
    </row>
    <row r="156" spans="2:9" x14ac:dyDescent="0.25">
      <c r="B156" t="s">
        <v>611</v>
      </c>
      <c r="H156" s="75"/>
    </row>
    <row r="157" spans="2:9" x14ac:dyDescent="0.25">
      <c r="B157" t="s">
        <v>612</v>
      </c>
      <c r="H157" s="75"/>
    </row>
    <row r="158" spans="2:9" x14ac:dyDescent="0.25">
      <c r="B158" t="s">
        <v>595</v>
      </c>
      <c r="H158" s="75"/>
    </row>
    <row r="159" spans="2:9" x14ac:dyDescent="0.25">
      <c r="H159" s="75"/>
    </row>
    <row r="160" spans="2:9" x14ac:dyDescent="0.25">
      <c r="H160" s="75"/>
    </row>
    <row r="161" spans="2:9" x14ac:dyDescent="0.25">
      <c r="B161" s="19" t="s">
        <v>343</v>
      </c>
    </row>
    <row r="163" spans="2:9" x14ac:dyDescent="0.25">
      <c r="B163" s="19" t="s">
        <v>238</v>
      </c>
    </row>
    <row r="165" spans="2:9" x14ac:dyDescent="0.25">
      <c r="B165" s="19" t="s">
        <v>344</v>
      </c>
    </row>
    <row r="167" spans="2:9" x14ac:dyDescent="0.25">
      <c r="B167" t="s">
        <v>613</v>
      </c>
    </row>
    <row r="168" spans="2:9" x14ac:dyDescent="0.25">
      <c r="B168" t="s">
        <v>614</v>
      </c>
      <c r="I168" s="75" t="s">
        <v>235</v>
      </c>
    </row>
    <row r="169" spans="2:9" x14ac:dyDescent="0.25">
      <c r="B169" t="s">
        <v>615</v>
      </c>
    </row>
    <row r="171" spans="2:9" x14ac:dyDescent="0.25">
      <c r="B171" s="19" t="s">
        <v>235</v>
      </c>
      <c r="H171" s="112"/>
      <c r="I171" s="122" t="s">
        <v>235</v>
      </c>
    </row>
    <row r="172" spans="2:9" x14ac:dyDescent="0.25">
      <c r="B172" s="197" t="s">
        <v>345</v>
      </c>
      <c r="C172" s="239">
        <v>2021</v>
      </c>
      <c r="D172" s="239">
        <v>2020</v>
      </c>
      <c r="E172" s="239" t="s">
        <v>576</v>
      </c>
      <c r="F172" s="239" t="s">
        <v>575</v>
      </c>
    </row>
    <row r="173" spans="2:9" x14ac:dyDescent="0.25">
      <c r="B173" t="s">
        <v>346</v>
      </c>
      <c r="C173" s="219">
        <f>'NOTAS (2)'!C108</f>
        <v>77901336.040000007</v>
      </c>
      <c r="D173" s="3">
        <v>10927253.52</v>
      </c>
      <c r="E173" s="219">
        <f>C173-D173</f>
        <v>66974082.520000011</v>
      </c>
      <c r="F173" s="246">
        <f>E173/C173</f>
        <v>0.85972957492809654</v>
      </c>
    </row>
    <row r="174" spans="2:9" x14ac:dyDescent="0.25">
      <c r="B174" s="19" t="s">
        <v>75</v>
      </c>
      <c r="C174" s="120">
        <f>C173</f>
        <v>77901336.040000007</v>
      </c>
      <c r="D174" s="120">
        <f>D173</f>
        <v>10927253.52</v>
      </c>
      <c r="E174" s="120">
        <f>C174-D174</f>
        <v>66974082.520000011</v>
      </c>
      <c r="F174" s="143">
        <f>E174/C174</f>
        <v>0.85972957492809654</v>
      </c>
    </row>
    <row r="175" spans="2:9" x14ac:dyDescent="0.25">
      <c r="H175" t="s">
        <v>235</v>
      </c>
    </row>
    <row r="177" spans="2:7" x14ac:dyDescent="0.25">
      <c r="B177" s="19" t="s">
        <v>347</v>
      </c>
    </row>
    <row r="178" spans="2:7" x14ac:dyDescent="0.25">
      <c r="B178" s="19"/>
    </row>
    <row r="179" spans="2:7" x14ac:dyDescent="0.25">
      <c r="B179" s="77" t="s">
        <v>616</v>
      </c>
      <c r="C179" s="77"/>
      <c r="D179" s="77"/>
      <c r="E179" s="77"/>
      <c r="F179" s="77"/>
      <c r="G179" s="77" t="s">
        <v>235</v>
      </c>
    </row>
    <row r="180" spans="2:7" x14ac:dyDescent="0.25">
      <c r="B180" s="77" t="s">
        <v>617</v>
      </c>
      <c r="C180" s="77"/>
      <c r="D180" s="77"/>
      <c r="E180" s="77"/>
      <c r="F180" s="77"/>
      <c r="G180" s="77" t="s">
        <v>235</v>
      </c>
    </row>
    <row r="181" spans="2:7" x14ac:dyDescent="0.25">
      <c r="B181" s="77" t="s">
        <v>589</v>
      </c>
      <c r="C181" s="77"/>
      <c r="D181" s="77"/>
      <c r="E181" s="77"/>
      <c r="F181" s="77"/>
      <c r="G181" s="77"/>
    </row>
    <row r="182" spans="2:7" x14ac:dyDescent="0.25">
      <c r="B182" s="19"/>
    </row>
    <row r="183" spans="2:7" x14ac:dyDescent="0.25">
      <c r="B183" s="19"/>
    </row>
    <row r="184" spans="2:7" x14ac:dyDescent="0.25">
      <c r="B184" s="197" t="s">
        <v>345</v>
      </c>
      <c r="C184" s="239">
        <v>2021</v>
      </c>
      <c r="D184" s="239">
        <v>2020</v>
      </c>
      <c r="E184" s="239" t="s">
        <v>576</v>
      </c>
      <c r="F184" s="239" t="s">
        <v>575</v>
      </c>
    </row>
    <row r="185" spans="2:7" x14ac:dyDescent="0.25">
      <c r="B185" t="s">
        <v>348</v>
      </c>
      <c r="C185" s="51">
        <f>'NOTAS (2)'!C114</f>
        <v>0</v>
      </c>
      <c r="D185" s="34">
        <v>0</v>
      </c>
      <c r="E185" s="223">
        <f>C185-D185</f>
        <v>0</v>
      </c>
      <c r="F185" s="155">
        <v>0</v>
      </c>
    </row>
    <row r="186" spans="2:7" x14ac:dyDescent="0.25">
      <c r="B186" t="s">
        <v>349</v>
      </c>
      <c r="C186" s="51">
        <f>'NOTAS (2)'!C115</f>
        <v>134272.26</v>
      </c>
      <c r="D186" s="51">
        <v>21827.68</v>
      </c>
      <c r="E186" s="223">
        <f t="shared" ref="E186:E189" si="16">C186-D186</f>
        <v>112444.58000000002</v>
      </c>
      <c r="F186" s="155">
        <f t="shared" ref="F186:F187" si="17">E186/C186</f>
        <v>0.83743715939539565</v>
      </c>
      <c r="G186" s="75"/>
    </row>
    <row r="187" spans="2:7" x14ac:dyDescent="0.25">
      <c r="B187" t="s">
        <v>350</v>
      </c>
      <c r="C187" s="51">
        <f>'NOTAS (2)'!C116</f>
        <v>260007.78999999998</v>
      </c>
      <c r="D187" s="51">
        <v>40480.129999999997</v>
      </c>
      <c r="E187" s="223">
        <f t="shared" si="16"/>
        <v>219527.65999999997</v>
      </c>
      <c r="F187" s="155">
        <f t="shared" si="17"/>
        <v>0.84431185696397781</v>
      </c>
    </row>
    <row r="188" spans="2:7" x14ac:dyDescent="0.25">
      <c r="B188" t="s">
        <v>79</v>
      </c>
      <c r="C188" s="51">
        <f>'NOTAS (2)'!C117</f>
        <v>0</v>
      </c>
      <c r="D188" s="51">
        <v>5305.61</v>
      </c>
      <c r="E188" s="223">
        <f t="shared" si="16"/>
        <v>-5305.61</v>
      </c>
      <c r="F188" s="155">
        <v>0</v>
      </c>
    </row>
    <row r="189" spans="2:7" x14ac:dyDescent="0.25">
      <c r="B189" t="s">
        <v>351</v>
      </c>
      <c r="C189" s="51">
        <f>'NOTAS (2)'!C118</f>
        <v>0</v>
      </c>
      <c r="D189" s="51">
        <v>1304.6500000000001</v>
      </c>
      <c r="E189" s="223">
        <f t="shared" si="16"/>
        <v>-1304.6500000000001</v>
      </c>
      <c r="F189" s="155">
        <v>0</v>
      </c>
    </row>
    <row r="190" spans="2:7" x14ac:dyDescent="0.25">
      <c r="B190" s="19" t="s">
        <v>352</v>
      </c>
      <c r="C190" s="247">
        <f>SUM(C185:C189)</f>
        <v>394280.05</v>
      </c>
      <c r="D190" s="247">
        <f>SUM(D185:D189)</f>
        <v>68918.069999999992</v>
      </c>
      <c r="E190" s="120">
        <f>C190-D190</f>
        <v>325361.98</v>
      </c>
      <c r="F190" s="143">
        <f>E190/C190</f>
        <v>0.8252052823874807</v>
      </c>
    </row>
    <row r="194" spans="2:11" x14ac:dyDescent="0.25">
      <c r="B194" s="19" t="s">
        <v>353</v>
      </c>
      <c r="C194" t="s">
        <v>335</v>
      </c>
    </row>
    <row r="196" spans="2:11" x14ac:dyDescent="0.25">
      <c r="B196" t="s">
        <v>618</v>
      </c>
    </row>
    <row r="197" spans="2:11" x14ac:dyDescent="0.25">
      <c r="B197" t="s">
        <v>619</v>
      </c>
    </row>
    <row r="198" spans="2:11" x14ac:dyDescent="0.25">
      <c r="B198" t="s">
        <v>577</v>
      </c>
    </row>
    <row r="200" spans="2:11" x14ac:dyDescent="0.25">
      <c r="B200" s="19" t="s">
        <v>10</v>
      </c>
      <c r="C200" s="239">
        <v>2021</v>
      </c>
      <c r="D200" s="239">
        <v>2020</v>
      </c>
      <c r="E200" s="239" t="s">
        <v>576</v>
      </c>
      <c r="F200" s="239" t="s">
        <v>575</v>
      </c>
      <c r="H200" s="20"/>
      <c r="I200" s="20"/>
      <c r="J200" s="20"/>
      <c r="K200" s="20"/>
    </row>
    <row r="201" spans="2:11" x14ac:dyDescent="0.25">
      <c r="B201" s="101" t="s">
        <v>83</v>
      </c>
      <c r="C201" s="224">
        <v>534638142.77999997</v>
      </c>
      <c r="D201" s="224">
        <v>534638142.77999997</v>
      </c>
      <c r="E201" s="248">
        <f>C201-D201</f>
        <v>0</v>
      </c>
      <c r="F201" s="155">
        <f>E201/C201</f>
        <v>0</v>
      </c>
      <c r="H201" s="20"/>
      <c r="I201" s="20"/>
      <c r="J201" s="20"/>
      <c r="K201" s="20"/>
    </row>
    <row r="202" spans="2:11" x14ac:dyDescent="0.25">
      <c r="B202" s="101" t="s">
        <v>555</v>
      </c>
      <c r="C202" s="224">
        <v>61404674.619999997</v>
      </c>
      <c r="D202" s="3">
        <v>105324611.81</v>
      </c>
      <c r="E202" s="248">
        <f t="shared" ref="E202:E204" si="18">C202-D202</f>
        <v>-43919937.190000005</v>
      </c>
      <c r="F202" s="155">
        <f t="shared" ref="F202:F204" si="19">E202/C202</f>
        <v>-0.71525396823281806</v>
      </c>
    </row>
    <row r="203" spans="2:11" x14ac:dyDescent="0.25">
      <c r="B203" t="s">
        <v>191</v>
      </c>
      <c r="C203" s="69">
        <v>-32708314.5</v>
      </c>
      <c r="D203" s="263">
        <v>-83676655.670000002</v>
      </c>
      <c r="E203" s="248">
        <f t="shared" si="18"/>
        <v>50968341.170000002</v>
      </c>
      <c r="F203" s="155">
        <f t="shared" si="19"/>
        <v>-1.5582686527610587</v>
      </c>
      <c r="G203" s="75"/>
    </row>
    <row r="204" spans="2:11" x14ac:dyDescent="0.25">
      <c r="B204" s="101" t="s">
        <v>192</v>
      </c>
      <c r="C204" s="69">
        <v>-19947991.079999998</v>
      </c>
      <c r="D204" s="3">
        <v>53563352.950000003</v>
      </c>
      <c r="E204" s="248">
        <f t="shared" si="18"/>
        <v>-73511344.030000001</v>
      </c>
      <c r="F204" s="155">
        <f t="shared" si="19"/>
        <v>3.6851502356897989</v>
      </c>
    </row>
    <row r="205" spans="2:11" x14ac:dyDescent="0.25">
      <c r="B205" s="100" t="s">
        <v>246</v>
      </c>
      <c r="C205" s="135">
        <f>SUM(C201:C204)</f>
        <v>543386511.81999993</v>
      </c>
      <c r="D205" s="135">
        <f>SUM(D201:D204)</f>
        <v>609849451.87</v>
      </c>
      <c r="E205" s="120">
        <f>C205-D205</f>
        <v>-66462940.050000072</v>
      </c>
      <c r="F205" s="244">
        <f>E205/C205</f>
        <v>-0.1223124582673048</v>
      </c>
      <c r="H205" s="232"/>
    </row>
    <row r="208" spans="2:11" x14ac:dyDescent="0.25">
      <c r="B208" s="19" t="s">
        <v>354</v>
      </c>
    </row>
    <row r="210" spans="2:8" x14ac:dyDescent="0.25">
      <c r="B210" t="s">
        <v>620</v>
      </c>
    </row>
    <row r="211" spans="2:8" x14ac:dyDescent="0.25">
      <c r="B211" t="s">
        <v>621</v>
      </c>
    </row>
    <row r="212" spans="2:8" x14ac:dyDescent="0.25">
      <c r="B212" t="s">
        <v>622</v>
      </c>
    </row>
    <row r="214" spans="2:8" x14ac:dyDescent="0.25">
      <c r="B214" s="19" t="s">
        <v>345</v>
      </c>
      <c r="C214" s="239">
        <v>2021</v>
      </c>
      <c r="D214" s="239">
        <v>2020</v>
      </c>
      <c r="E214" s="239" t="s">
        <v>574</v>
      </c>
      <c r="F214" s="239" t="s">
        <v>575</v>
      </c>
      <c r="G214" s="170"/>
    </row>
    <row r="215" spans="2:8" x14ac:dyDescent="0.25">
      <c r="B215" s="1" t="s">
        <v>89</v>
      </c>
      <c r="C215" s="3">
        <f>29968363.49+12455809.89+990686.27</f>
        <v>43414859.649999999</v>
      </c>
      <c r="D215" s="3">
        <v>7034408.5699999994</v>
      </c>
      <c r="E215" s="3">
        <f>C215-D215</f>
        <v>36380451.079999998</v>
      </c>
      <c r="F215" s="155">
        <f>E215/C215</f>
        <v>0.83797232959614087</v>
      </c>
    </row>
    <row r="216" spans="2:8" x14ac:dyDescent="0.25">
      <c r="B216" s="1" t="s">
        <v>90</v>
      </c>
      <c r="C216" s="3">
        <f>8056+409469.33+18535.63+2089422.27+914810.99+1057299.43+1663877.19+732567.29+21972.14+1400+1371.78+23514.4+241494.12+230303.13</f>
        <v>7414093.7000000002</v>
      </c>
      <c r="D216" s="3">
        <v>6247154.2800000003</v>
      </c>
      <c r="E216" s="3">
        <f t="shared" ref="E216:E220" si="20">C216-D216</f>
        <v>1166939.42</v>
      </c>
      <c r="F216" s="155">
        <f t="shared" ref="F216:F221" si="21">E216/C216</f>
        <v>0.1573947494081441</v>
      </c>
    </row>
    <row r="217" spans="2:8" x14ac:dyDescent="0.25">
      <c r="B217" s="1" t="s">
        <v>91</v>
      </c>
      <c r="C217" s="3">
        <v>5678095.0800000001</v>
      </c>
      <c r="D217" s="3">
        <v>2402755.9500000002</v>
      </c>
      <c r="E217" s="3">
        <f t="shared" si="20"/>
        <v>3275339.13</v>
      </c>
      <c r="F217" s="155">
        <v>0</v>
      </c>
    </row>
    <row r="218" spans="2:8" x14ac:dyDescent="0.25">
      <c r="B218" s="1" t="s">
        <v>92</v>
      </c>
      <c r="C218" s="3">
        <v>0</v>
      </c>
      <c r="D218" s="34"/>
      <c r="E218" s="3">
        <f t="shared" si="20"/>
        <v>0</v>
      </c>
      <c r="F218" s="155">
        <v>0</v>
      </c>
    </row>
    <row r="219" spans="2:8" x14ac:dyDescent="0.25">
      <c r="B219" s="1" t="s">
        <v>93</v>
      </c>
      <c r="C219" s="3">
        <v>45000</v>
      </c>
      <c r="D219" s="3"/>
      <c r="E219" s="3">
        <f t="shared" si="20"/>
        <v>45000</v>
      </c>
      <c r="F219" s="155">
        <f t="shared" si="21"/>
        <v>1</v>
      </c>
    </row>
    <row r="220" spans="2:8" x14ac:dyDescent="0.25">
      <c r="B220" s="1" t="s">
        <v>94</v>
      </c>
      <c r="C220" s="3">
        <v>15000</v>
      </c>
      <c r="D220" s="3"/>
      <c r="E220" s="3">
        <f t="shared" si="20"/>
        <v>15000</v>
      </c>
      <c r="F220" s="246">
        <f t="shared" si="21"/>
        <v>1</v>
      </c>
    </row>
    <row r="221" spans="2:8" x14ac:dyDescent="0.25">
      <c r="B221" s="6" t="s">
        <v>95</v>
      </c>
      <c r="C221" s="128">
        <f>SUM(C215:C220)</f>
        <v>56567048.43</v>
      </c>
      <c r="D221" s="128">
        <f>SUM(D215:D220)</f>
        <v>15684318.800000001</v>
      </c>
      <c r="E221" s="120">
        <f>SUM(E215:E220)</f>
        <v>40882729.630000003</v>
      </c>
      <c r="F221" s="143">
        <f t="shared" si="21"/>
        <v>0.72273047232773924</v>
      </c>
    </row>
    <row r="224" spans="2:8" x14ac:dyDescent="0.25">
      <c r="B224" s="19" t="s">
        <v>355</v>
      </c>
      <c r="H224" s="122" t="s">
        <v>235</v>
      </c>
    </row>
    <row r="226" spans="2:6" x14ac:dyDescent="0.25">
      <c r="B226" t="s">
        <v>623</v>
      </c>
    </row>
    <row r="227" spans="2:6" x14ac:dyDescent="0.25">
      <c r="B227" t="s">
        <v>624</v>
      </c>
    </row>
    <row r="229" spans="2:6" x14ac:dyDescent="0.25">
      <c r="B229" s="19" t="s">
        <v>345</v>
      </c>
      <c r="C229" s="239">
        <v>2021</v>
      </c>
      <c r="D229" s="239">
        <v>2020</v>
      </c>
      <c r="E229" s="239" t="s">
        <v>574</v>
      </c>
      <c r="F229" s="239" t="s">
        <v>575</v>
      </c>
    </row>
    <row r="230" spans="2:6" x14ac:dyDescent="0.25">
      <c r="B230" t="s">
        <v>356</v>
      </c>
      <c r="C230" s="249">
        <v>21319779.120000001</v>
      </c>
      <c r="D230" s="3">
        <v>17235106.379999999</v>
      </c>
      <c r="E230" s="249">
        <f>C230-D230</f>
        <v>4084672.7400000021</v>
      </c>
      <c r="F230" s="244">
        <f>E230/C230</f>
        <v>0.19159076259698143</v>
      </c>
    </row>
    <row r="231" spans="2:6" x14ac:dyDescent="0.25">
      <c r="B231" s="19" t="s">
        <v>357</v>
      </c>
      <c r="C231" s="120">
        <f>C230</f>
        <v>21319779.120000001</v>
      </c>
      <c r="D231" s="120">
        <f>D230</f>
        <v>17235106.379999999</v>
      </c>
      <c r="E231" s="120">
        <f>C231-D231</f>
        <v>4084672.7400000021</v>
      </c>
      <c r="F231" s="143">
        <f>E231/C231</f>
        <v>0.19159076259698143</v>
      </c>
    </row>
    <row r="234" spans="2:6" x14ac:dyDescent="0.25">
      <c r="B234" s="19" t="s">
        <v>358</v>
      </c>
    </row>
    <row r="236" spans="2:6" x14ac:dyDescent="0.25">
      <c r="B236" t="s">
        <v>625</v>
      </c>
    </row>
    <row r="237" spans="2:6" x14ac:dyDescent="0.25">
      <c r="B237" t="s">
        <v>626</v>
      </c>
    </row>
    <row r="238" spans="2:6" x14ac:dyDescent="0.25">
      <c r="B238" t="s">
        <v>579</v>
      </c>
    </row>
    <row r="240" spans="2:6" x14ac:dyDescent="0.25">
      <c r="B240" s="197" t="s">
        <v>345</v>
      </c>
      <c r="C240" s="239">
        <v>2021</v>
      </c>
      <c r="D240" s="239">
        <v>2020</v>
      </c>
      <c r="E240" s="239" t="s">
        <v>574</v>
      </c>
      <c r="F240" s="239" t="s">
        <v>575</v>
      </c>
    </row>
    <row r="241" spans="2:8" x14ac:dyDescent="0.25">
      <c r="B241" t="s">
        <v>556</v>
      </c>
      <c r="C241" s="3">
        <v>26803153.420000002</v>
      </c>
      <c r="D241" s="58">
        <v>16320314.533</v>
      </c>
      <c r="E241" s="219">
        <f>E259</f>
        <v>10482838.889999999</v>
      </c>
      <c r="F241" s="155">
        <f>E241/C241</f>
        <v>0.3911046855471082</v>
      </c>
    </row>
    <row r="242" spans="2:8" x14ac:dyDescent="0.25">
      <c r="B242" t="s">
        <v>359</v>
      </c>
      <c r="C242" s="3">
        <v>0</v>
      </c>
      <c r="D242" s="3">
        <v>0</v>
      </c>
      <c r="E242" s="219">
        <f>D271</f>
        <v>200383.47</v>
      </c>
      <c r="F242" s="155">
        <v>0</v>
      </c>
    </row>
    <row r="243" spans="2:8" x14ac:dyDescent="0.25">
      <c r="B243" t="s">
        <v>102</v>
      </c>
      <c r="C243" s="3">
        <v>706565.35</v>
      </c>
      <c r="D243" s="3">
        <v>200383.47</v>
      </c>
      <c r="E243" s="219" t="s">
        <v>235</v>
      </c>
      <c r="F243" s="155" t="e">
        <f t="shared" ref="F243:F246" si="22">E243/C243</f>
        <v>#VALUE!</v>
      </c>
    </row>
    <row r="244" spans="2:8" x14ac:dyDescent="0.25">
      <c r="B244" t="s">
        <v>103</v>
      </c>
      <c r="C244" s="3">
        <v>11221120.66</v>
      </c>
      <c r="D244" s="3">
        <v>2381022.75</v>
      </c>
      <c r="E244" s="219">
        <f t="shared" ref="E244:E246" si="23">C244-D244</f>
        <v>8840097.9100000001</v>
      </c>
      <c r="F244" s="155">
        <f t="shared" si="22"/>
        <v>0.78780882746518832</v>
      </c>
    </row>
    <row r="245" spans="2:8" x14ac:dyDescent="0.25">
      <c r="B245" t="s">
        <v>104</v>
      </c>
      <c r="C245" s="3"/>
      <c r="D245" s="3">
        <v>0</v>
      </c>
      <c r="E245" s="219">
        <f t="shared" si="23"/>
        <v>0</v>
      </c>
      <c r="F245" s="155">
        <v>0</v>
      </c>
    </row>
    <row r="246" spans="2:8" x14ac:dyDescent="0.25">
      <c r="B246" t="s">
        <v>105</v>
      </c>
      <c r="C246" s="3">
        <v>3809423.85</v>
      </c>
      <c r="D246" s="3">
        <v>2409321.9500000002</v>
      </c>
      <c r="E246" s="219">
        <f t="shared" si="23"/>
        <v>1400101.9</v>
      </c>
      <c r="F246" s="246">
        <f t="shared" si="22"/>
        <v>0.36753639267523353</v>
      </c>
    </row>
    <row r="247" spans="2:8" x14ac:dyDescent="0.25">
      <c r="B247" s="19" t="s">
        <v>360</v>
      </c>
      <c r="C247" s="128">
        <f>SUM(C241:C246)</f>
        <v>42540263.280000009</v>
      </c>
      <c r="D247" s="128">
        <f>SUM(D241:D246)</f>
        <v>21311042.702999998</v>
      </c>
      <c r="E247" s="120">
        <f>C247-D247</f>
        <v>21229220.577000011</v>
      </c>
      <c r="F247" s="143">
        <f>E247/C247</f>
        <v>0.49903829784195936</v>
      </c>
    </row>
    <row r="250" spans="2:8" x14ac:dyDescent="0.25">
      <c r="B250" s="19" t="s">
        <v>361</v>
      </c>
      <c r="H250" s="122"/>
    </row>
    <row r="252" spans="2:8" x14ac:dyDescent="0.25">
      <c r="B252" t="s">
        <v>627</v>
      </c>
    </row>
    <row r="253" spans="2:8" x14ac:dyDescent="0.25">
      <c r="B253" t="s">
        <v>628</v>
      </c>
    </row>
    <row r="254" spans="2:8" x14ac:dyDescent="0.25">
      <c r="B254" t="s">
        <v>629</v>
      </c>
    </row>
    <row r="255" spans="2:8" x14ac:dyDescent="0.25">
      <c r="C255" s="112"/>
      <c r="D255" s="112"/>
      <c r="E255" s="112"/>
    </row>
    <row r="256" spans="2:8" x14ac:dyDescent="0.25">
      <c r="B256" s="197" t="s">
        <v>345</v>
      </c>
      <c r="C256" s="239">
        <v>2021</v>
      </c>
      <c r="D256" s="239">
        <v>2020</v>
      </c>
      <c r="E256" s="239" t="s">
        <v>574</v>
      </c>
      <c r="F256" s="239" t="s">
        <v>575</v>
      </c>
    </row>
    <row r="257" spans="2:8" x14ac:dyDescent="0.25">
      <c r="B257" t="s">
        <v>362</v>
      </c>
      <c r="C257" s="3">
        <f>19043106.33+6689775.9+1000271.19</f>
        <v>26733153.419999998</v>
      </c>
      <c r="D257" s="3">
        <v>16320314.529999999</v>
      </c>
      <c r="E257" s="3">
        <f>C257-D257</f>
        <v>10412838.889999999</v>
      </c>
      <c r="F257" s="155">
        <f>E257/C257</f>
        <v>0.38951031052736912</v>
      </c>
    </row>
    <row r="258" spans="2:8" x14ac:dyDescent="0.25">
      <c r="B258" t="s">
        <v>109</v>
      </c>
      <c r="C258" s="3">
        <v>70000</v>
      </c>
      <c r="D258" s="3">
        <v>0</v>
      </c>
      <c r="E258" s="218">
        <f>C258-D258</f>
        <v>70000</v>
      </c>
      <c r="F258" s="246">
        <f>E258/C258</f>
        <v>1</v>
      </c>
    </row>
    <row r="259" spans="2:8" x14ac:dyDescent="0.25">
      <c r="B259" s="19" t="s">
        <v>363</v>
      </c>
      <c r="C259" s="120">
        <f>SUM(C257:C258)</f>
        <v>26803153.419999998</v>
      </c>
      <c r="D259" s="120">
        <f>SUM(D257:D258)</f>
        <v>16320314.529999999</v>
      </c>
      <c r="E259" s="120">
        <f>C259-D259</f>
        <v>10482838.889999999</v>
      </c>
      <c r="F259" s="143">
        <f>E259/C259</f>
        <v>0.39110468554710826</v>
      </c>
    </row>
    <row r="262" spans="2:8" x14ac:dyDescent="0.25">
      <c r="B262" s="19" t="s">
        <v>364</v>
      </c>
      <c r="H262" s="122"/>
    </row>
    <row r="264" spans="2:8" x14ac:dyDescent="0.25">
      <c r="B264" t="s">
        <v>658</v>
      </c>
    </row>
    <row r="265" spans="2:8" x14ac:dyDescent="0.25">
      <c r="B265" t="s">
        <v>630</v>
      </c>
    </row>
    <row r="266" spans="2:8" x14ac:dyDescent="0.25">
      <c r="B266" t="s">
        <v>235</v>
      </c>
    </row>
    <row r="267" spans="2:8" x14ac:dyDescent="0.25">
      <c r="B267" s="197" t="s">
        <v>345</v>
      </c>
      <c r="C267" s="239">
        <v>2021</v>
      </c>
      <c r="D267" s="239">
        <v>2020</v>
      </c>
      <c r="E267" s="239" t="s">
        <v>574</v>
      </c>
      <c r="F267" s="239" t="s">
        <v>575</v>
      </c>
    </row>
    <row r="268" spans="2:8" x14ac:dyDescent="0.25">
      <c r="B268" s="77" t="s">
        <v>365</v>
      </c>
      <c r="C268" s="40">
        <v>0</v>
      </c>
      <c r="D268" s="40">
        <v>0</v>
      </c>
      <c r="E268" s="223">
        <f>C268-D268</f>
        <v>0</v>
      </c>
      <c r="F268" s="155">
        <v>0</v>
      </c>
    </row>
    <row r="269" spans="2:8" x14ac:dyDescent="0.25">
      <c r="B269" t="s">
        <v>366</v>
      </c>
      <c r="C269" s="51">
        <v>39900</v>
      </c>
      <c r="D269" s="51">
        <v>143000</v>
      </c>
      <c r="E269" s="223">
        <f>C269-D269</f>
        <v>-103100</v>
      </c>
      <c r="F269" s="155">
        <f t="shared" ref="F269:F271" si="24">E269/C269</f>
        <v>-2.5839598997493733</v>
      </c>
    </row>
    <row r="270" spans="2:8" x14ac:dyDescent="0.25">
      <c r="B270" t="s">
        <v>367</v>
      </c>
      <c r="C270" s="51">
        <v>666665.35</v>
      </c>
      <c r="D270" s="51">
        <v>57383.47</v>
      </c>
      <c r="E270" s="223">
        <f>C270-D270</f>
        <v>609281.88</v>
      </c>
      <c r="F270" s="246">
        <f t="shared" si="24"/>
        <v>0.91392462500113436</v>
      </c>
    </row>
    <row r="271" spans="2:8" x14ac:dyDescent="0.25">
      <c r="B271" s="19" t="s">
        <v>368</v>
      </c>
      <c r="C271" s="120">
        <f>SUM(C268:C270)</f>
        <v>706565.35</v>
      </c>
      <c r="D271" s="120">
        <f>SUM(D268:D270)</f>
        <v>200383.47</v>
      </c>
      <c r="E271" s="120">
        <f>C271-D271</f>
        <v>506181.88</v>
      </c>
      <c r="F271" s="143">
        <f t="shared" si="24"/>
        <v>0.71639782505609706</v>
      </c>
    </row>
    <row r="272" spans="2:8" x14ac:dyDescent="0.25">
      <c r="C272" s="112"/>
      <c r="D272" s="112"/>
      <c r="E272" s="112"/>
    </row>
    <row r="273" spans="2:12" x14ac:dyDescent="0.25">
      <c r="B273" s="19" t="s">
        <v>369</v>
      </c>
    </row>
    <row r="275" spans="2:12" x14ac:dyDescent="0.25">
      <c r="B275" t="s">
        <v>632</v>
      </c>
    </row>
    <row r="276" spans="2:12" x14ac:dyDescent="0.25">
      <c r="B276" t="s">
        <v>633</v>
      </c>
    </row>
    <row r="277" spans="2:12" x14ac:dyDescent="0.25">
      <c r="B277" t="s">
        <v>634</v>
      </c>
    </row>
    <row r="279" spans="2:12" x14ac:dyDescent="0.25">
      <c r="B279" s="282" t="s">
        <v>345</v>
      </c>
      <c r="C279" s="239">
        <v>2021</v>
      </c>
      <c r="D279" s="239">
        <v>2020</v>
      </c>
      <c r="E279" s="239" t="s">
        <v>574</v>
      </c>
      <c r="F279" s="239" t="s">
        <v>575</v>
      </c>
    </row>
    <row r="280" spans="2:12" x14ac:dyDescent="0.25">
      <c r="B280" s="1" t="s">
        <v>116</v>
      </c>
      <c r="C280" s="3">
        <v>0</v>
      </c>
      <c r="D280" s="3">
        <v>0</v>
      </c>
      <c r="E280" s="219">
        <f>C280-D280</f>
        <v>0</v>
      </c>
      <c r="F280" s="155">
        <v>0</v>
      </c>
      <c r="L280" s="112"/>
    </row>
    <row r="281" spans="2:12" x14ac:dyDescent="0.25">
      <c r="B281" s="1" t="s">
        <v>117</v>
      </c>
      <c r="C281" s="3">
        <v>453236</v>
      </c>
      <c r="D281" s="3">
        <v>349354</v>
      </c>
      <c r="E281" s="219">
        <f t="shared" ref="E281:E284" si="25">C281-D281</f>
        <v>103882</v>
      </c>
      <c r="F281" s="155">
        <f t="shared" ref="F281:F284" si="26">E281/C281</f>
        <v>0.22920068132275459</v>
      </c>
    </row>
    <row r="282" spans="2:12" x14ac:dyDescent="0.25">
      <c r="B282" s="1" t="s">
        <v>118</v>
      </c>
      <c r="C282" s="3">
        <v>10658571.66</v>
      </c>
      <c r="D282" s="3">
        <v>2031668.75</v>
      </c>
      <c r="E282" s="219">
        <f t="shared" si="25"/>
        <v>8626902.9100000001</v>
      </c>
      <c r="F282" s="155">
        <f t="shared" si="26"/>
        <v>0.80938639671349732</v>
      </c>
    </row>
    <row r="283" spans="2:12" x14ac:dyDescent="0.25">
      <c r="B283" s="1" t="s">
        <v>255</v>
      </c>
      <c r="C283" s="3">
        <v>66413</v>
      </c>
      <c r="D283" s="3">
        <v>0</v>
      </c>
      <c r="E283" s="219">
        <f t="shared" si="25"/>
        <v>66413</v>
      </c>
      <c r="F283" s="155">
        <f t="shared" si="26"/>
        <v>1</v>
      </c>
    </row>
    <row r="284" spans="2:12" x14ac:dyDescent="0.25">
      <c r="B284" s="126" t="s">
        <v>631</v>
      </c>
      <c r="C284" s="279">
        <v>42900</v>
      </c>
      <c r="D284" s="40">
        <v>0</v>
      </c>
      <c r="E284" s="279">
        <f t="shared" si="25"/>
        <v>42900</v>
      </c>
      <c r="F284" s="155">
        <f t="shared" si="26"/>
        <v>1</v>
      </c>
    </row>
    <row r="285" spans="2:12" x14ac:dyDescent="0.25">
      <c r="B285" s="6" t="s">
        <v>119</v>
      </c>
      <c r="C285" s="128">
        <f>SUM(C280:C284)</f>
        <v>11221120.66</v>
      </c>
      <c r="D285" s="128">
        <f>SUM(D280:D284)</f>
        <v>2381022.75</v>
      </c>
      <c r="E285" s="128">
        <f>C285-D285</f>
        <v>8840097.9100000001</v>
      </c>
      <c r="F285" s="143">
        <f>E285/C285</f>
        <v>0.78780882746518832</v>
      </c>
    </row>
    <row r="287" spans="2:12" x14ac:dyDescent="0.25">
      <c r="B287" s="19" t="s">
        <v>370</v>
      </c>
    </row>
    <row r="289" spans="2:6" x14ac:dyDescent="0.25">
      <c r="B289" t="s">
        <v>635</v>
      </c>
    </row>
    <row r="290" spans="2:6" x14ac:dyDescent="0.25">
      <c r="B290" t="s">
        <v>636</v>
      </c>
    </row>
    <row r="291" spans="2:6" x14ac:dyDescent="0.25">
      <c r="B291" t="s">
        <v>637</v>
      </c>
    </row>
    <row r="292" spans="2:6" x14ac:dyDescent="0.25">
      <c r="C292" s="112"/>
      <c r="D292" s="112"/>
      <c r="E292" s="112"/>
    </row>
    <row r="293" spans="2:6" x14ac:dyDescent="0.25">
      <c r="B293" s="197" t="s">
        <v>345</v>
      </c>
      <c r="C293" s="239">
        <v>2021</v>
      </c>
      <c r="D293" s="239">
        <v>2020</v>
      </c>
      <c r="E293" s="239" t="s">
        <v>574</v>
      </c>
      <c r="F293" s="239" t="s">
        <v>575</v>
      </c>
    </row>
    <row r="294" spans="2:6" x14ac:dyDescent="0.25">
      <c r="B294" s="1" t="s">
        <v>121</v>
      </c>
      <c r="C294" s="3">
        <v>1763236.31</v>
      </c>
      <c r="D294" s="3">
        <v>1113694.48</v>
      </c>
      <c r="E294" s="219">
        <f>C294-D294</f>
        <v>649541.83000000007</v>
      </c>
      <c r="F294" s="155">
        <f>E294/C294</f>
        <v>0.3683804753317495</v>
      </c>
    </row>
    <row r="295" spans="2:6" x14ac:dyDescent="0.25">
      <c r="B295" s="1" t="s">
        <v>122</v>
      </c>
      <c r="C295" s="219">
        <v>1763720.21</v>
      </c>
      <c r="D295" s="219">
        <v>1114508.53</v>
      </c>
      <c r="E295" s="219">
        <f t="shared" ref="E295:E296" si="27">C295-D295</f>
        <v>649211.67999999993</v>
      </c>
      <c r="F295" s="155">
        <f t="shared" ref="F295:F297" si="28">E295/C295</f>
        <v>0.36809221571487233</v>
      </c>
    </row>
    <row r="296" spans="2:6" x14ac:dyDescent="0.25">
      <c r="B296" s="1" t="s">
        <v>123</v>
      </c>
      <c r="C296" s="218">
        <v>282467.33</v>
      </c>
      <c r="D296" s="218">
        <v>181118.94</v>
      </c>
      <c r="E296" s="218">
        <f t="shared" si="27"/>
        <v>101348.39000000001</v>
      </c>
      <c r="F296" s="246">
        <f t="shared" si="28"/>
        <v>0.35879685625944779</v>
      </c>
    </row>
    <row r="297" spans="2:6" x14ac:dyDescent="0.25">
      <c r="B297" s="6" t="s">
        <v>371</v>
      </c>
      <c r="C297" s="250">
        <f>SUM(C294:C296)</f>
        <v>3809423.85</v>
      </c>
      <c r="D297" s="250">
        <f>SUM(D294:D296)</f>
        <v>2409321.9499999997</v>
      </c>
      <c r="E297" s="250">
        <f>C297-D297</f>
        <v>1400101.9000000004</v>
      </c>
      <c r="F297" s="143">
        <f t="shared" si="28"/>
        <v>0.36753639267523364</v>
      </c>
    </row>
    <row r="300" spans="2:6" x14ac:dyDescent="0.25">
      <c r="B300" s="19" t="s">
        <v>372</v>
      </c>
    </row>
    <row r="302" spans="2:6" x14ac:dyDescent="0.25">
      <c r="B302" t="s">
        <v>638</v>
      </c>
    </row>
    <row r="303" spans="2:6" x14ac:dyDescent="0.25">
      <c r="B303" t="s">
        <v>639</v>
      </c>
    </row>
    <row r="305" spans="2:8" x14ac:dyDescent="0.25">
      <c r="B305" s="19" t="s">
        <v>345</v>
      </c>
      <c r="C305" s="239">
        <v>2021</v>
      </c>
      <c r="D305" s="239">
        <v>2020</v>
      </c>
      <c r="E305" s="239" t="s">
        <v>574</v>
      </c>
      <c r="F305" s="239" t="s">
        <v>575</v>
      </c>
    </row>
    <row r="306" spans="2:8" x14ac:dyDescent="0.25">
      <c r="B306" s="1" t="s">
        <v>125</v>
      </c>
      <c r="C306" s="103">
        <v>0</v>
      </c>
      <c r="D306" s="51">
        <v>0</v>
      </c>
      <c r="E306" s="251">
        <f>C306-D306</f>
        <v>0</v>
      </c>
      <c r="F306" s="155" t="e">
        <f>E306/C306</f>
        <v>#DIV/0!</v>
      </c>
    </row>
    <row r="307" spans="2:8" x14ac:dyDescent="0.25">
      <c r="B307" s="1" t="s">
        <v>126</v>
      </c>
      <c r="C307" s="103">
        <f>'NOTAS (2)'!N203</f>
        <v>0</v>
      </c>
      <c r="D307" s="51">
        <v>0</v>
      </c>
      <c r="E307" s="251">
        <f t="shared" ref="E307" si="29">C307-D307</f>
        <v>0</v>
      </c>
      <c r="F307" s="246">
        <v>0</v>
      </c>
      <c r="G307" s="75"/>
    </row>
    <row r="308" spans="2:8" x14ac:dyDescent="0.25">
      <c r="B308" s="19" t="s">
        <v>373</v>
      </c>
      <c r="C308" s="120">
        <f>SUM(C306:C307)</f>
        <v>0</v>
      </c>
      <c r="D308" s="120">
        <f>SUM(D306:D307)</f>
        <v>0</v>
      </c>
      <c r="E308" s="120">
        <f>C308-D308</f>
        <v>0</v>
      </c>
      <c r="F308" s="246" t="e">
        <f>E308/C308</f>
        <v>#DIV/0!</v>
      </c>
    </row>
    <row r="309" spans="2:8" x14ac:dyDescent="0.25">
      <c r="B309" t="s">
        <v>235</v>
      </c>
      <c r="H309" s="20"/>
    </row>
    <row r="310" spans="2:8" x14ac:dyDescent="0.25">
      <c r="B310" s="170" t="s">
        <v>374</v>
      </c>
      <c r="C310" s="171"/>
      <c r="D310" s="171"/>
      <c r="E310" s="171"/>
      <c r="F310" s="171"/>
      <c r="G310" s="171"/>
      <c r="H310" s="171"/>
    </row>
    <row r="311" spans="2:8" x14ac:dyDescent="0.25">
      <c r="B311" s="171"/>
      <c r="C311" s="171"/>
      <c r="D311" s="171"/>
      <c r="E311" s="171"/>
      <c r="F311" s="171"/>
      <c r="G311" s="171"/>
      <c r="H311" s="171"/>
    </row>
    <row r="312" spans="2:8" x14ac:dyDescent="0.25">
      <c r="B312" s="171" t="s">
        <v>640</v>
      </c>
      <c r="C312" s="171"/>
      <c r="D312" s="171"/>
      <c r="E312" s="171"/>
      <c r="F312" s="171"/>
      <c r="G312" s="262"/>
      <c r="H312" s="171" t="s">
        <v>235</v>
      </c>
    </row>
    <row r="313" spans="2:8" x14ac:dyDescent="0.25">
      <c r="B313" s="171" t="s">
        <v>641</v>
      </c>
      <c r="C313" s="171"/>
      <c r="D313" s="171"/>
      <c r="E313" s="171"/>
      <c r="F313" s="171"/>
      <c r="G313" s="171"/>
      <c r="H313" s="171"/>
    </row>
    <row r="314" spans="2:8" x14ac:dyDescent="0.25">
      <c r="B314" s="171" t="s">
        <v>642</v>
      </c>
      <c r="C314" s="171"/>
      <c r="D314" s="171"/>
      <c r="E314" s="171"/>
      <c r="F314" s="171"/>
      <c r="G314" s="171"/>
      <c r="H314" s="171"/>
    </row>
    <row r="315" spans="2:8" x14ac:dyDescent="0.25">
      <c r="B315" s="171"/>
      <c r="C315" s="171"/>
      <c r="D315" s="171"/>
      <c r="E315" s="171"/>
      <c r="F315" s="171"/>
      <c r="G315" s="171"/>
      <c r="H315" s="171"/>
    </row>
    <row r="316" spans="2:8" x14ac:dyDescent="0.25">
      <c r="B316" s="170" t="s">
        <v>345</v>
      </c>
      <c r="C316" s="243">
        <v>2021</v>
      </c>
      <c r="D316" s="243">
        <v>2020</v>
      </c>
      <c r="E316" s="243" t="s">
        <v>574</v>
      </c>
      <c r="F316" s="239" t="s">
        <v>575</v>
      </c>
      <c r="G316" s="221"/>
      <c r="H316" s="221"/>
    </row>
    <row r="317" spans="2:8" x14ac:dyDescent="0.25">
      <c r="B317" s="181" t="s">
        <v>129</v>
      </c>
      <c r="C317" s="3">
        <v>535836.75</v>
      </c>
      <c r="D317" s="3">
        <v>598491.43000000005</v>
      </c>
      <c r="E317" s="222">
        <f>C317-D317</f>
        <v>-62654.680000000051</v>
      </c>
      <c r="F317" s="252">
        <f>E317/C317</f>
        <v>-0.11692867277207107</v>
      </c>
      <c r="G317" s="224"/>
      <c r="H317" s="222"/>
    </row>
    <row r="318" spans="2:8" x14ac:dyDescent="0.25">
      <c r="B318" s="181" t="s">
        <v>130</v>
      </c>
      <c r="C318" s="3">
        <v>92630</v>
      </c>
      <c r="D318" s="3"/>
      <c r="E318" s="222">
        <f t="shared" ref="E318:E326" si="30">C318-D318</f>
        <v>92630</v>
      </c>
      <c r="F318" s="252">
        <f t="shared" ref="F318:F326" si="31">E318/C318</f>
        <v>1</v>
      </c>
      <c r="G318" s="224"/>
      <c r="H318" s="222"/>
    </row>
    <row r="319" spans="2:8" x14ac:dyDescent="0.25">
      <c r="B319" s="181" t="s">
        <v>131</v>
      </c>
      <c r="C319" s="3">
        <v>286315.2</v>
      </c>
      <c r="D319" s="3">
        <v>284757.59999999998</v>
      </c>
      <c r="E319" s="222">
        <f t="shared" si="30"/>
        <v>1557.6000000000349</v>
      </c>
      <c r="F319" s="252">
        <f t="shared" si="31"/>
        <v>5.4401582591494784E-3</v>
      </c>
      <c r="G319" s="224"/>
      <c r="H319" s="222"/>
    </row>
    <row r="320" spans="2:8" x14ac:dyDescent="0.25">
      <c r="B320" s="181" t="s">
        <v>132</v>
      </c>
      <c r="C320" s="3">
        <v>4899803.0999999996</v>
      </c>
      <c r="D320" s="3">
        <v>4855466.82</v>
      </c>
      <c r="E320" s="222">
        <f t="shared" si="30"/>
        <v>44336.279999999329</v>
      </c>
      <c r="F320" s="252">
        <f t="shared" si="31"/>
        <v>9.0485840135084879E-3</v>
      </c>
      <c r="G320" s="224"/>
      <c r="H320" s="222"/>
    </row>
    <row r="321" spans="2:8" x14ac:dyDescent="0.25">
      <c r="B321" s="181" t="s">
        <v>133</v>
      </c>
      <c r="C321" s="3">
        <v>515225.06</v>
      </c>
      <c r="D321" s="3">
        <v>19109.759999999998</v>
      </c>
      <c r="E321" s="222">
        <f t="shared" si="30"/>
        <v>496115.3</v>
      </c>
      <c r="F321" s="252">
        <f t="shared" si="31"/>
        <v>0.96290987864604249</v>
      </c>
      <c r="G321" s="224"/>
      <c r="H321" s="222"/>
    </row>
    <row r="322" spans="2:8" x14ac:dyDescent="0.25">
      <c r="B322" s="181" t="s">
        <v>134</v>
      </c>
      <c r="C322" s="3">
        <v>12169.86</v>
      </c>
      <c r="D322" s="3">
        <v>0</v>
      </c>
      <c r="E322" s="222">
        <f t="shared" si="30"/>
        <v>12169.86</v>
      </c>
      <c r="F322" s="252">
        <f t="shared" si="31"/>
        <v>1</v>
      </c>
      <c r="G322" s="224"/>
      <c r="H322" s="222"/>
    </row>
    <row r="323" spans="2:8" x14ac:dyDescent="0.25">
      <c r="B323" s="181" t="s">
        <v>135</v>
      </c>
      <c r="C323" s="3">
        <v>500</v>
      </c>
      <c r="D323" s="3">
        <v>1909357.48</v>
      </c>
      <c r="E323" s="222">
        <f t="shared" si="30"/>
        <v>-1908857.48</v>
      </c>
      <c r="F323" s="252">
        <f t="shared" si="31"/>
        <v>-3817.7149599999998</v>
      </c>
      <c r="G323" s="224"/>
      <c r="H323" s="222"/>
    </row>
    <row r="324" spans="2:8" x14ac:dyDescent="0.25">
      <c r="B324" s="181" t="s">
        <v>136</v>
      </c>
      <c r="C324" s="3">
        <v>4365905.03</v>
      </c>
      <c r="D324" s="3">
        <v>0</v>
      </c>
      <c r="E324" s="222">
        <f t="shared" si="30"/>
        <v>4365905.03</v>
      </c>
      <c r="F324" s="252">
        <f t="shared" si="31"/>
        <v>1</v>
      </c>
      <c r="G324" s="224"/>
      <c r="H324" s="222"/>
    </row>
    <row r="325" spans="2:8" x14ac:dyDescent="0.25">
      <c r="B325" s="181" t="s">
        <v>137</v>
      </c>
      <c r="C325" s="3">
        <v>34360684.229999997</v>
      </c>
      <c r="D325" s="3">
        <f>6060180.94</f>
        <v>6060180.9400000004</v>
      </c>
      <c r="E325" s="222">
        <f t="shared" si="30"/>
        <v>28300503.289999995</v>
      </c>
      <c r="F325" s="252">
        <f t="shared" si="31"/>
        <v>0.82363037652466442</v>
      </c>
      <c r="G325" s="224"/>
      <c r="H325" s="222"/>
    </row>
    <row r="326" spans="2:8" x14ac:dyDescent="0.25">
      <c r="B326" s="181" t="s">
        <v>138</v>
      </c>
      <c r="C326" s="3">
        <v>3335092.34</v>
      </c>
      <c r="D326" s="3">
        <v>0</v>
      </c>
      <c r="E326" s="222">
        <f t="shared" si="30"/>
        <v>3335092.34</v>
      </c>
      <c r="F326" s="253">
        <f t="shared" si="31"/>
        <v>1</v>
      </c>
      <c r="G326" s="224"/>
      <c r="H326" s="222"/>
    </row>
    <row r="327" spans="2:8" x14ac:dyDescent="0.25">
      <c r="B327" s="177" t="s">
        <v>139</v>
      </c>
      <c r="C327" s="189">
        <f>SUM(C317:C326)</f>
        <v>48404161.569999993</v>
      </c>
      <c r="D327" s="189">
        <f>SUM(D317:D326)</f>
        <v>13727364.030000001</v>
      </c>
      <c r="E327" s="189">
        <f>C327-D327</f>
        <v>34676797.539999992</v>
      </c>
      <c r="F327" s="254">
        <f>E327/C327</f>
        <v>0.71640116087646544</v>
      </c>
      <c r="G327" s="187"/>
      <c r="H327" s="187"/>
    </row>
    <row r="328" spans="2:8" x14ac:dyDescent="0.25">
      <c r="B328" s="171"/>
      <c r="C328" s="171"/>
      <c r="D328" s="171"/>
      <c r="E328" s="171"/>
      <c r="F328" s="171"/>
      <c r="G328" s="171"/>
      <c r="H328" s="171" t="s">
        <v>235</v>
      </c>
    </row>
    <row r="329" spans="2:8" x14ac:dyDescent="0.25">
      <c r="B329" s="170" t="s">
        <v>375</v>
      </c>
      <c r="C329" s="171"/>
      <c r="D329" s="171"/>
      <c r="E329" s="171"/>
      <c r="F329" s="171"/>
      <c r="G329" s="171"/>
      <c r="H329" s="171"/>
    </row>
    <row r="330" spans="2:8" x14ac:dyDescent="0.25">
      <c r="B330" s="170"/>
      <c r="C330" s="171"/>
      <c r="D330" s="171"/>
      <c r="E330" s="171"/>
      <c r="F330" s="171"/>
      <c r="G330" s="171"/>
      <c r="H330" s="171"/>
    </row>
    <row r="331" spans="2:8" x14ac:dyDescent="0.25">
      <c r="B331" s="171" t="s">
        <v>643</v>
      </c>
      <c r="C331" s="225"/>
      <c r="D331" s="225"/>
      <c r="E331" s="225"/>
      <c r="F331" s="225"/>
      <c r="G331" s="225"/>
      <c r="H331" s="171"/>
    </row>
    <row r="332" spans="2:8" x14ac:dyDescent="0.25">
      <c r="B332" s="171" t="s">
        <v>644</v>
      </c>
      <c r="C332" s="225"/>
      <c r="D332" s="225"/>
      <c r="E332" s="225"/>
      <c r="F332" s="225"/>
      <c r="G332" s="225"/>
      <c r="H332" s="171"/>
    </row>
    <row r="333" spans="2:8" x14ac:dyDescent="0.25">
      <c r="B333" s="171" t="s">
        <v>590</v>
      </c>
      <c r="C333" s="225"/>
      <c r="D333" s="225"/>
      <c r="E333" s="225"/>
      <c r="F333" s="225"/>
      <c r="G333" s="225"/>
      <c r="H333" s="171"/>
    </row>
    <row r="334" spans="2:8" x14ac:dyDescent="0.25">
      <c r="B334" s="225"/>
      <c r="C334" s="225"/>
      <c r="D334" s="225"/>
      <c r="E334" s="225"/>
      <c r="F334" s="225"/>
      <c r="G334" s="225"/>
      <c r="H334" s="171"/>
    </row>
    <row r="335" spans="2:8" x14ac:dyDescent="0.25">
      <c r="B335" s="170" t="s">
        <v>10</v>
      </c>
      <c r="C335" s="243">
        <v>2021</v>
      </c>
      <c r="D335" s="243">
        <v>2020</v>
      </c>
      <c r="E335" s="243" t="s">
        <v>574</v>
      </c>
      <c r="F335" s="239" t="s">
        <v>575</v>
      </c>
    </row>
    <row r="336" spans="2:8" x14ac:dyDescent="0.25">
      <c r="B336" s="175" t="s">
        <v>570</v>
      </c>
      <c r="C336" s="3">
        <f>16306.85+474.6+306.37+1047.68+515.92</f>
        <v>18651.419999999998</v>
      </c>
      <c r="D336" s="3">
        <v>195719.84856059583</v>
      </c>
      <c r="E336" s="222">
        <f>C336-D336</f>
        <v>-177068.42856059584</v>
      </c>
      <c r="F336" s="75">
        <f>E336/C336</f>
        <v>-9.4935628794266531</v>
      </c>
      <c r="G336" s="75"/>
    </row>
    <row r="337" spans="2:8" x14ac:dyDescent="0.25">
      <c r="B337" s="175" t="s">
        <v>566</v>
      </c>
      <c r="C337" s="3">
        <f>82339.38+77885.15+4119.82</f>
        <v>164344.35</v>
      </c>
      <c r="D337" s="3">
        <v>988268.56579899916</v>
      </c>
      <c r="E337" s="222">
        <f t="shared" ref="E337:E340" si="32">C337-D337</f>
        <v>-823924.21579899918</v>
      </c>
      <c r="F337" s="75">
        <f t="shared" ref="F337:F340" si="33">E337/C337</f>
        <v>-5.0134015303781307</v>
      </c>
    </row>
    <row r="338" spans="2:8" x14ac:dyDescent="0.25">
      <c r="B338" s="175" t="s">
        <v>567</v>
      </c>
      <c r="C338" s="3">
        <v>3233.48</v>
      </c>
      <c r="D338" s="3">
        <v>38809.219480460481</v>
      </c>
      <c r="E338" s="222">
        <f t="shared" si="32"/>
        <v>-35575.739480460477</v>
      </c>
      <c r="F338" s="75">
        <f t="shared" si="33"/>
        <v>-11.002306951167311</v>
      </c>
      <c r="G338" s="235" t="s">
        <v>235</v>
      </c>
    </row>
    <row r="339" spans="2:8" x14ac:dyDescent="0.25">
      <c r="B339" s="175" t="s">
        <v>568</v>
      </c>
      <c r="C339" s="3">
        <f>148883.14+18241.12+1500</f>
        <v>168624.26</v>
      </c>
      <c r="D339" s="3">
        <v>1786941.2913101129</v>
      </c>
      <c r="E339" s="222">
        <f t="shared" si="32"/>
        <v>-1618317.0313101129</v>
      </c>
      <c r="F339" s="75">
        <f t="shared" si="33"/>
        <v>-9.597177958320545</v>
      </c>
    </row>
    <row r="340" spans="2:8" x14ac:dyDescent="0.25">
      <c r="B340" s="175" t="s">
        <v>569</v>
      </c>
      <c r="C340" s="3">
        <f>985462.06+5850+9618.76</f>
        <v>1000930.8200000001</v>
      </c>
      <c r="D340" s="3">
        <v>11827818.732571531</v>
      </c>
      <c r="E340" s="222">
        <f t="shared" si="32"/>
        <v>-10826887.912571531</v>
      </c>
      <c r="F340" s="75">
        <f t="shared" si="33"/>
        <v>-10.816819400736936</v>
      </c>
    </row>
    <row r="341" spans="2:8" x14ac:dyDescent="0.25">
      <c r="B341" s="177" t="s">
        <v>146</v>
      </c>
      <c r="C341" s="179">
        <f>SUM(C336:C340)</f>
        <v>1355784.33</v>
      </c>
      <c r="D341" s="179">
        <f>SUM(D336:D340)</f>
        <v>14837557.657721698</v>
      </c>
      <c r="E341" s="179">
        <f>C341-D341</f>
        <v>-13481773.327721698</v>
      </c>
      <c r="F341" s="144">
        <f>E341/C341</f>
        <v>-9.9438922765257942</v>
      </c>
    </row>
    <row r="342" spans="2:8" x14ac:dyDescent="0.25">
      <c r="B342" s="171"/>
      <c r="C342" s="171"/>
      <c r="D342" s="171"/>
      <c r="E342" s="171"/>
      <c r="F342" s="171"/>
      <c r="G342" s="171"/>
      <c r="H342" s="171"/>
    </row>
    <row r="343" spans="2:8" x14ac:dyDescent="0.25">
      <c r="B343" s="171"/>
      <c r="C343" s="171"/>
      <c r="D343" s="171"/>
      <c r="E343" s="171"/>
      <c r="F343" s="171"/>
      <c r="G343" s="171"/>
      <c r="H343" s="171"/>
    </row>
    <row r="344" spans="2:8" x14ac:dyDescent="0.25">
      <c r="B344" s="171"/>
      <c r="C344" s="171"/>
      <c r="D344" s="171"/>
      <c r="E344" s="171"/>
      <c r="F344" s="171"/>
      <c r="G344" s="171"/>
      <c r="H344" s="171"/>
    </row>
    <row r="345" spans="2:8" x14ac:dyDescent="0.25">
      <c r="B345" s="170" t="s">
        <v>376</v>
      </c>
      <c r="C345" s="171"/>
      <c r="D345" s="171"/>
      <c r="E345" s="171"/>
      <c r="F345" s="171"/>
      <c r="G345" s="171"/>
      <c r="H345" s="171"/>
    </row>
    <row r="346" spans="2:8" x14ac:dyDescent="0.25">
      <c r="B346" s="171"/>
      <c r="C346" s="171"/>
      <c r="D346" s="171"/>
      <c r="E346" s="171"/>
      <c r="F346" s="171"/>
      <c r="G346" s="171"/>
      <c r="H346" s="171"/>
    </row>
    <row r="347" spans="2:8" x14ac:dyDescent="0.25">
      <c r="B347" s="171" t="s">
        <v>645</v>
      </c>
      <c r="C347" s="171"/>
      <c r="D347" s="171"/>
      <c r="E347" s="171"/>
      <c r="F347" s="171"/>
      <c r="G347" s="171"/>
      <c r="H347" s="171"/>
    </row>
    <row r="348" spans="2:8" x14ac:dyDescent="0.25">
      <c r="B348" s="171" t="s">
        <v>646</v>
      </c>
      <c r="C348" s="171"/>
      <c r="D348" s="171"/>
      <c r="E348" s="171"/>
      <c r="F348" s="171"/>
      <c r="G348" s="171"/>
      <c r="H348" s="171"/>
    </row>
    <row r="349" spans="2:8" x14ac:dyDescent="0.25">
      <c r="B349" s="171" t="s">
        <v>591</v>
      </c>
      <c r="C349" s="171"/>
      <c r="D349" s="171"/>
      <c r="E349" s="171"/>
      <c r="F349" s="171"/>
      <c r="G349" s="171"/>
      <c r="H349" s="171"/>
    </row>
    <row r="350" spans="2:8" x14ac:dyDescent="0.25">
      <c r="B350" s="171"/>
      <c r="C350" s="171"/>
      <c r="D350" s="171"/>
      <c r="E350" s="171"/>
      <c r="F350" s="171"/>
      <c r="G350" s="171"/>
      <c r="H350" s="171"/>
    </row>
    <row r="351" spans="2:8" x14ac:dyDescent="0.25">
      <c r="B351" s="170" t="s">
        <v>345</v>
      </c>
      <c r="C351" s="243">
        <v>2021</v>
      </c>
      <c r="D351" s="243">
        <v>2020</v>
      </c>
      <c r="E351" s="243" t="s">
        <v>574</v>
      </c>
      <c r="F351" s="239" t="s">
        <v>575</v>
      </c>
    </row>
    <row r="352" spans="2:8" x14ac:dyDescent="0.25">
      <c r="B352" s="181" t="s">
        <v>162</v>
      </c>
      <c r="C352" s="3">
        <v>166178.06</v>
      </c>
      <c r="D352" s="3">
        <v>558171.1</v>
      </c>
      <c r="E352" s="3">
        <f>C352-D352</f>
        <v>-391993.04</v>
      </c>
      <c r="F352" s="155">
        <f>E352/C352</f>
        <v>-2.3588736082248163</v>
      </c>
    </row>
    <row r="353" spans="2:8" x14ac:dyDescent="0.25">
      <c r="B353" s="181" t="s">
        <v>163</v>
      </c>
      <c r="C353" s="51">
        <v>0</v>
      </c>
      <c r="D353" s="51">
        <v>0</v>
      </c>
      <c r="E353" s="3">
        <f t="shared" ref="E353:E360" si="34">C353-D353</f>
        <v>0</v>
      </c>
      <c r="F353" s="155">
        <v>0</v>
      </c>
    </row>
    <row r="354" spans="2:8" x14ac:dyDescent="0.25">
      <c r="B354" s="181" t="s">
        <v>164</v>
      </c>
      <c r="C354" s="3">
        <v>0</v>
      </c>
      <c r="D354" s="51">
        <v>0</v>
      </c>
      <c r="E354" s="3">
        <f t="shared" si="34"/>
        <v>0</v>
      </c>
      <c r="F354" s="155">
        <v>0</v>
      </c>
    </row>
    <row r="355" spans="2:8" x14ac:dyDescent="0.25">
      <c r="B355" s="181" t="s">
        <v>165</v>
      </c>
      <c r="C355" s="3">
        <v>1210</v>
      </c>
      <c r="D355" s="3">
        <v>0</v>
      </c>
      <c r="E355" s="3">
        <f t="shared" si="34"/>
        <v>1210</v>
      </c>
      <c r="F355" s="155">
        <v>0</v>
      </c>
    </row>
    <row r="356" spans="2:8" x14ac:dyDescent="0.25">
      <c r="B356" s="181" t="s">
        <v>166</v>
      </c>
      <c r="C356" s="51">
        <v>2500</v>
      </c>
      <c r="D356" s="3">
        <v>0</v>
      </c>
      <c r="E356" s="3">
        <f t="shared" si="34"/>
        <v>2500</v>
      </c>
      <c r="F356" s="155">
        <f t="shared" ref="F356:F360" si="35">E356/C356</f>
        <v>1</v>
      </c>
    </row>
    <row r="357" spans="2:8" x14ac:dyDescent="0.25">
      <c r="B357" s="181" t="s">
        <v>578</v>
      </c>
      <c r="C357" s="51">
        <v>359076</v>
      </c>
      <c r="D357" s="3">
        <v>0</v>
      </c>
      <c r="E357" s="3">
        <f t="shared" si="34"/>
        <v>359076</v>
      </c>
      <c r="F357" s="155">
        <v>0</v>
      </c>
    </row>
    <row r="358" spans="2:8" x14ac:dyDescent="0.25">
      <c r="B358" s="181" t="s">
        <v>167</v>
      </c>
      <c r="C358" s="3">
        <v>186300.96</v>
      </c>
      <c r="D358" s="3">
        <v>26314</v>
      </c>
      <c r="E358" s="3">
        <f t="shared" si="34"/>
        <v>159986.96</v>
      </c>
      <c r="F358" s="155">
        <f t="shared" si="35"/>
        <v>0.85875542455605169</v>
      </c>
    </row>
    <row r="359" spans="2:8" x14ac:dyDescent="0.25">
      <c r="B359" s="181" t="s">
        <v>168</v>
      </c>
      <c r="C359" s="3">
        <v>3716076.63</v>
      </c>
      <c r="D359" s="3">
        <v>550639.03</v>
      </c>
      <c r="E359" s="3">
        <f t="shared" si="34"/>
        <v>3165437.5999999996</v>
      </c>
      <c r="F359" s="155">
        <f t="shared" si="35"/>
        <v>0.8518224770838484</v>
      </c>
    </row>
    <row r="360" spans="2:8" x14ac:dyDescent="0.25">
      <c r="B360" s="181" t="s">
        <v>380</v>
      </c>
      <c r="C360" s="3">
        <v>1103267.8</v>
      </c>
      <c r="D360" s="200">
        <v>0</v>
      </c>
      <c r="E360" s="3">
        <f t="shared" si="34"/>
        <v>1103267.8</v>
      </c>
      <c r="F360" s="246">
        <f t="shared" si="35"/>
        <v>1</v>
      </c>
    </row>
    <row r="361" spans="2:8" x14ac:dyDescent="0.25">
      <c r="B361" s="177" t="s">
        <v>562</v>
      </c>
      <c r="C361" s="179">
        <f>SUM(C352:C360)</f>
        <v>5534609.4500000002</v>
      </c>
      <c r="D361" s="179">
        <f>SUM(D352:D360)</f>
        <v>1135124.1299999999</v>
      </c>
      <c r="E361" s="179">
        <f>C361-D361</f>
        <v>4399485.32</v>
      </c>
      <c r="F361" s="143">
        <f>E361/C361</f>
        <v>0.79490438480713399</v>
      </c>
      <c r="G361" s="75"/>
      <c r="H361" s="18"/>
    </row>
    <row r="362" spans="2:8" x14ac:dyDescent="0.25">
      <c r="B362" s="171"/>
      <c r="C362" s="226"/>
      <c r="D362" s="226"/>
      <c r="E362" s="226"/>
      <c r="F362" s="171"/>
      <c r="G362" s="171"/>
      <c r="H362" s="182"/>
    </row>
    <row r="363" spans="2:8" x14ac:dyDescent="0.25">
      <c r="B363" s="171"/>
      <c r="C363" s="171"/>
      <c r="D363" s="171"/>
      <c r="E363" s="171"/>
      <c r="F363" s="171"/>
      <c r="G363" s="171"/>
      <c r="H363" s="171"/>
    </row>
  </sheetData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2"/>
  <sheetViews>
    <sheetView topLeftCell="A119" workbookViewId="0">
      <pane xSplit="1" topLeftCell="I1" activePane="topRight" state="frozen"/>
      <selection pane="topRight" activeCell="P134" sqref="P134"/>
    </sheetView>
  </sheetViews>
  <sheetFormatPr baseColWidth="10" defaultColWidth="11.42578125" defaultRowHeight="15" x14ac:dyDescent="0.25"/>
  <cols>
    <col min="1" max="1" width="35.140625" style="7" bestFit="1" customWidth="1"/>
    <col min="2" max="2" width="2.7109375" style="1" customWidth="1"/>
    <col min="3" max="3" width="16.28515625" style="3" bestFit="1" customWidth="1"/>
    <col min="4" max="4" width="2.85546875" style="1" bestFit="1" customWidth="1"/>
    <col min="5" max="5" width="17.28515625" style="3" customWidth="1"/>
    <col min="6" max="6" width="9.85546875" style="1" customWidth="1"/>
    <col min="7" max="7" width="16.85546875" style="3" bestFit="1" customWidth="1"/>
    <col min="8" max="8" width="16.28515625" style="3" bestFit="1" customWidth="1"/>
    <col min="9" max="11" width="15.5703125" style="3" bestFit="1" customWidth="1"/>
    <col min="12" max="12" width="16.28515625" style="3" bestFit="1" customWidth="1"/>
    <col min="13" max="13" width="15.5703125" style="3" bestFit="1" customWidth="1"/>
    <col min="14" max="18" width="15.5703125" style="3" customWidth="1"/>
    <col min="19" max="19" width="2.140625" style="54" bestFit="1" customWidth="1"/>
    <col min="20" max="22" width="2.140625" style="55" bestFit="1" customWidth="1"/>
    <col min="23" max="23" width="3.7109375" style="55" bestFit="1" customWidth="1"/>
    <col min="24" max="24" width="11.42578125" style="38"/>
    <col min="25" max="25" width="16.140625" style="38" bestFit="1" customWidth="1"/>
    <col min="26" max="36" width="11.42578125" style="38"/>
    <col min="37" max="16384" width="11.42578125" style="1"/>
  </cols>
  <sheetData>
    <row r="1" spans="1:36" x14ac:dyDescent="0.25">
      <c r="A1" s="35" t="s">
        <v>235</v>
      </c>
      <c r="B1" s="36"/>
      <c r="C1" s="37"/>
      <c r="D1" s="36"/>
      <c r="E1" s="37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36" x14ac:dyDescent="0.25">
      <c r="G2" s="3">
        <v>349759516.33999997</v>
      </c>
      <c r="H2" s="3">
        <f>G2-G4</f>
        <v>11585026.019999981</v>
      </c>
    </row>
    <row r="3" spans="1:36" s="6" customFormat="1" x14ac:dyDescent="0.25">
      <c r="A3" s="4" t="s">
        <v>10</v>
      </c>
      <c r="C3" s="5" t="s">
        <v>268</v>
      </c>
      <c r="E3" s="5" t="s">
        <v>269</v>
      </c>
      <c r="G3" s="40" t="s">
        <v>170</v>
      </c>
      <c r="H3" s="40" t="s">
        <v>171</v>
      </c>
      <c r="I3" s="40" t="s">
        <v>172</v>
      </c>
      <c r="J3" s="40" t="s">
        <v>173</v>
      </c>
      <c r="K3" s="40" t="s">
        <v>174</v>
      </c>
      <c r="L3" s="40" t="s">
        <v>175</v>
      </c>
      <c r="M3" s="40" t="s">
        <v>224</v>
      </c>
      <c r="N3" s="40" t="s">
        <v>225</v>
      </c>
      <c r="O3" s="40" t="s">
        <v>249</v>
      </c>
      <c r="P3" s="40" t="s">
        <v>250</v>
      </c>
      <c r="Q3" s="40" t="s">
        <v>251</v>
      </c>
      <c r="R3" s="40" t="s">
        <v>252</v>
      </c>
      <c r="S3" s="5"/>
      <c r="T3" s="56"/>
      <c r="U3" s="56"/>
      <c r="V3" s="56"/>
      <c r="W3" s="56"/>
      <c r="X3" s="39">
        <f>4375197.17+314770506.4</f>
        <v>319145703.56999999</v>
      </c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6" x14ac:dyDescent="0.25">
      <c r="A4" s="7" t="s">
        <v>11</v>
      </c>
      <c r="C4" s="3">
        <f>O4</f>
        <v>341997130.39999998</v>
      </c>
      <c r="D4" s="8"/>
      <c r="E4" s="3">
        <v>341997130.39999998</v>
      </c>
      <c r="G4" s="3">
        <v>338174490.31999999</v>
      </c>
      <c r="H4" s="3">
        <v>340685295.56</v>
      </c>
      <c r="I4" s="3">
        <v>335363095.20999998</v>
      </c>
      <c r="J4" s="3">
        <v>348796150.38</v>
      </c>
      <c r="K4" s="3">
        <v>358652887.05000001</v>
      </c>
      <c r="L4" s="3">
        <v>380004562.92000002</v>
      </c>
      <c r="M4" s="3">
        <v>345976895.85000002</v>
      </c>
      <c r="N4" s="3">
        <v>314920778.85000002</v>
      </c>
      <c r="O4" s="3">
        <v>341997130.39999998</v>
      </c>
      <c r="P4" s="3">
        <v>0</v>
      </c>
      <c r="Q4" s="3">
        <v>0</v>
      </c>
      <c r="R4" s="3">
        <v>0</v>
      </c>
    </row>
    <row r="5" spans="1:36" ht="30" x14ac:dyDescent="0.25">
      <c r="A5" s="7" t="s">
        <v>267</v>
      </c>
      <c r="C5" s="3">
        <f t="shared" ref="C5:C8" si="0">O5</f>
        <v>11653998.68</v>
      </c>
      <c r="D5" s="8"/>
      <c r="E5" s="3">
        <v>11653998.68</v>
      </c>
      <c r="G5" s="3">
        <v>9430986.5399999991</v>
      </c>
      <c r="H5" s="3">
        <v>7890602.3099999996</v>
      </c>
      <c r="I5" s="3">
        <v>7456042.1900000004</v>
      </c>
      <c r="J5" s="3">
        <v>7016166.8799999999</v>
      </c>
      <c r="K5" s="3">
        <v>7166976.96</v>
      </c>
      <c r="L5" s="3">
        <v>6488945.3399999999</v>
      </c>
      <c r="M5" s="3">
        <v>2039858.69</v>
      </c>
      <c r="N5" s="3">
        <v>16559672.449999999</v>
      </c>
      <c r="O5" s="3">
        <v>11653998.68</v>
      </c>
      <c r="P5" s="3">
        <v>0</v>
      </c>
      <c r="Q5" s="3">
        <v>0</v>
      </c>
      <c r="R5" s="3">
        <v>0</v>
      </c>
    </row>
    <row r="6" spans="1:36" ht="30" x14ac:dyDescent="0.25">
      <c r="A6" s="7" t="s">
        <v>12</v>
      </c>
      <c r="C6" s="3">
        <f t="shared" si="0"/>
        <v>236346.56</v>
      </c>
      <c r="D6" s="8"/>
      <c r="E6" s="3">
        <v>236346.56</v>
      </c>
      <c r="G6" s="3">
        <v>7244199.6299999999</v>
      </c>
      <c r="H6" s="3">
        <v>7419833.96</v>
      </c>
      <c r="I6" s="3">
        <v>6766718.3700000001</v>
      </c>
      <c r="J6" s="3">
        <v>3240487.84</v>
      </c>
      <c r="K6" s="3">
        <v>1452426.24</v>
      </c>
      <c r="L6" s="3">
        <v>192852.57</v>
      </c>
      <c r="M6" s="3">
        <v>328602.74</v>
      </c>
      <c r="N6" s="3">
        <v>217985.93</v>
      </c>
      <c r="O6" s="3">
        <v>236346.56</v>
      </c>
      <c r="P6" s="3">
        <v>0</v>
      </c>
      <c r="Q6" s="3">
        <v>0</v>
      </c>
      <c r="R6" s="3">
        <v>0</v>
      </c>
    </row>
    <row r="7" spans="1:36" x14ac:dyDescent="0.25">
      <c r="A7" s="7" t="s">
        <v>381</v>
      </c>
      <c r="C7" s="3">
        <f t="shared" si="0"/>
        <v>0</v>
      </c>
      <c r="D7" s="8"/>
      <c r="E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36" x14ac:dyDescent="0.25">
      <c r="A8" s="7" t="s">
        <v>13</v>
      </c>
      <c r="C8" s="3">
        <f t="shared" si="0"/>
        <v>10000</v>
      </c>
      <c r="D8" s="8"/>
      <c r="E8" s="3">
        <v>10000</v>
      </c>
      <c r="G8" s="3">
        <v>10000</v>
      </c>
      <c r="H8" s="3">
        <v>10000</v>
      </c>
      <c r="I8" s="3">
        <v>10000</v>
      </c>
      <c r="J8" s="3">
        <v>10000</v>
      </c>
      <c r="K8" s="3">
        <v>10000</v>
      </c>
      <c r="L8" s="3">
        <v>10000</v>
      </c>
      <c r="M8" s="3">
        <v>10000</v>
      </c>
      <c r="N8" s="3">
        <v>10000</v>
      </c>
      <c r="O8" s="3">
        <v>10000</v>
      </c>
      <c r="P8" s="3" t="s">
        <v>235</v>
      </c>
      <c r="Q8" s="3" t="s">
        <v>235</v>
      </c>
      <c r="R8" s="3" t="s">
        <v>235</v>
      </c>
      <c r="S8" s="54" t="s">
        <v>235</v>
      </c>
    </row>
    <row r="9" spans="1:36" ht="15.75" thickBot="1" x14ac:dyDescent="0.3">
      <c r="A9" s="2" t="s">
        <v>14</v>
      </c>
      <c r="B9" s="6"/>
      <c r="C9" s="9">
        <f>SUM(C4:C8)</f>
        <v>353897475.63999999</v>
      </c>
      <c r="D9" s="10"/>
      <c r="E9" s="9">
        <f>SUM(E4:E8)</f>
        <v>353897475.63999999</v>
      </c>
      <c r="G9" s="9">
        <f>SUM(G4:G8)</f>
        <v>354859676.49000001</v>
      </c>
      <c r="H9" s="9">
        <f t="shared" ref="H9:R9" si="1">SUM(H4:H8)</f>
        <v>356005731.82999998</v>
      </c>
      <c r="I9" s="9">
        <f t="shared" si="1"/>
        <v>349595855.76999998</v>
      </c>
      <c r="J9" s="9">
        <f t="shared" si="1"/>
        <v>359062805.09999996</v>
      </c>
      <c r="K9" s="9">
        <f t="shared" si="1"/>
        <v>367282290.25</v>
      </c>
      <c r="L9" s="9">
        <f t="shared" si="1"/>
        <v>386696360.82999998</v>
      </c>
      <c r="M9" s="9">
        <f t="shared" si="1"/>
        <v>348355357.28000003</v>
      </c>
      <c r="N9" s="9">
        <f t="shared" si="1"/>
        <v>331708437.23000002</v>
      </c>
      <c r="O9" s="9">
        <f t="shared" si="1"/>
        <v>353897475.63999999</v>
      </c>
      <c r="P9" s="9">
        <f t="shared" si="1"/>
        <v>0</v>
      </c>
      <c r="Q9" s="9">
        <f t="shared" si="1"/>
        <v>0</v>
      </c>
      <c r="R9" s="9">
        <f t="shared" si="1"/>
        <v>0</v>
      </c>
    </row>
    <row r="10" spans="1:36" ht="15.75" hidden="1" thickTop="1" x14ac:dyDescent="0.25">
      <c r="C10" s="3">
        <f>+C9-E9</f>
        <v>0</v>
      </c>
    </row>
    <row r="11" spans="1:36" ht="15.75" hidden="1" thickTop="1" x14ac:dyDescent="0.25">
      <c r="C11" s="57">
        <f>+C10/E9</f>
        <v>0</v>
      </c>
    </row>
    <row r="12" spans="1:36" ht="15.75" hidden="1" thickTop="1" x14ac:dyDescent="0.25"/>
    <row r="13" spans="1:36" ht="15.75" thickTop="1" x14ac:dyDescent="0.25">
      <c r="A13" s="35" t="s">
        <v>15</v>
      </c>
      <c r="B13" s="36"/>
      <c r="C13" s="37"/>
      <c r="D13" s="36"/>
      <c r="E13" s="37"/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36" x14ac:dyDescent="0.25">
      <c r="C14" s="3">
        <v>0</v>
      </c>
    </row>
    <row r="15" spans="1:36" x14ac:dyDescent="0.25">
      <c r="A15" s="4" t="s">
        <v>10</v>
      </c>
      <c r="C15" s="5" t="s">
        <v>268</v>
      </c>
      <c r="D15" s="6"/>
      <c r="E15" s="5" t="s">
        <v>269</v>
      </c>
      <c r="G15" s="40" t="s">
        <v>170</v>
      </c>
      <c r="H15" s="40" t="s">
        <v>171</v>
      </c>
      <c r="I15" s="40" t="s">
        <v>172</v>
      </c>
      <c r="J15" s="40" t="s">
        <v>173</v>
      </c>
      <c r="K15" s="40" t="s">
        <v>174</v>
      </c>
      <c r="L15" s="40" t="s">
        <v>175</v>
      </c>
      <c r="M15" s="40" t="s">
        <v>224</v>
      </c>
      <c r="N15" s="40" t="s">
        <v>225</v>
      </c>
      <c r="O15" s="40" t="s">
        <v>249</v>
      </c>
      <c r="P15" s="40" t="s">
        <v>250</v>
      </c>
      <c r="Q15" s="40" t="s">
        <v>251</v>
      </c>
      <c r="R15" s="40" t="s">
        <v>252</v>
      </c>
    </row>
    <row r="16" spans="1:36" x14ac:dyDescent="0.25">
      <c r="A16" s="7" t="s">
        <v>16</v>
      </c>
      <c r="C16" s="3">
        <f t="shared" ref="C16" si="2">+C49</f>
        <v>125026510.37000002</v>
      </c>
      <c r="D16" s="3"/>
      <c r="E16" s="3">
        <f>+E49</f>
        <v>164078560.88000003</v>
      </c>
      <c r="G16" s="3">
        <f>+G49</f>
        <v>192951499.37</v>
      </c>
      <c r="H16" s="3">
        <f t="shared" ref="H16:L16" si="3">+H49</f>
        <v>198264447.84000003</v>
      </c>
      <c r="I16" s="3">
        <f t="shared" si="3"/>
        <v>180699840.32000002</v>
      </c>
      <c r="J16" s="3">
        <f t="shared" si="3"/>
        <v>209012886.80000001</v>
      </c>
      <c r="K16" s="3">
        <f t="shared" si="3"/>
        <v>197694452.95999998</v>
      </c>
      <c r="L16" s="3">
        <f t="shared" si="3"/>
        <v>173094645.90099996</v>
      </c>
      <c r="M16" s="3">
        <f t="shared" ref="M16:N16" si="4">+M49</f>
        <v>130293199.69000001</v>
      </c>
      <c r="N16" s="3">
        <f t="shared" si="4"/>
        <v>121946642.78000003</v>
      </c>
      <c r="O16" s="3">
        <f t="shared" ref="O16:P16" si="5">+O49</f>
        <v>125026510.37000002</v>
      </c>
      <c r="P16" s="3">
        <f t="shared" si="5"/>
        <v>0</v>
      </c>
      <c r="Q16" s="3">
        <f t="shared" ref="Q16:R16" si="6">+Q49</f>
        <v>0</v>
      </c>
      <c r="R16" s="3">
        <f t="shared" si="6"/>
        <v>0</v>
      </c>
    </row>
    <row r="17" spans="1:36" x14ac:dyDescent="0.25">
      <c r="A17" s="7" t="s">
        <v>17</v>
      </c>
      <c r="C17" s="3">
        <f>+C65-C61-C62</f>
        <v>1032778.9200000002</v>
      </c>
      <c r="D17" s="3"/>
      <c r="E17" s="3">
        <f>+E65</f>
        <v>4736175.67</v>
      </c>
      <c r="G17" s="3">
        <f t="shared" ref="G17:H17" si="7">+G65</f>
        <v>5522356.1299999999</v>
      </c>
      <c r="H17" s="3">
        <f t="shared" si="7"/>
        <v>5522356.1299999999</v>
      </c>
      <c r="I17" s="3">
        <f>+I65-I61-I62</f>
        <v>5952905.2199999997</v>
      </c>
      <c r="J17" s="3">
        <f>+J65-J61-J62</f>
        <v>8118648.2899999991</v>
      </c>
      <c r="K17" s="3">
        <f>+K65-K61-K62</f>
        <v>2926178.2300000004</v>
      </c>
      <c r="L17" s="3">
        <v>3384621.37</v>
      </c>
      <c r="M17" s="3">
        <f>M65-M61-M62</f>
        <v>1032778.9200000002</v>
      </c>
      <c r="N17" s="3">
        <f>+N65-N61-N62</f>
        <v>1032778.9200000002</v>
      </c>
      <c r="O17" s="3">
        <f>+O65-O61-O62</f>
        <v>1032778.9200000002</v>
      </c>
      <c r="P17" s="3">
        <f t="shared" ref="P17" si="8">+P65</f>
        <v>0</v>
      </c>
      <c r="Q17" s="3">
        <f t="shared" ref="Q17:R17" si="9">+Q65</f>
        <v>0</v>
      </c>
      <c r="R17" s="3">
        <f t="shared" si="9"/>
        <v>0</v>
      </c>
    </row>
    <row r="18" spans="1:36" x14ac:dyDescent="0.25">
      <c r="A18" s="7" t="s">
        <v>18</v>
      </c>
      <c r="C18" s="8">
        <f>C61+C62</f>
        <v>1704031.2</v>
      </c>
      <c r="D18" s="8"/>
      <c r="E18" s="8">
        <v>8850255</v>
      </c>
      <c r="G18" s="8">
        <f>153297.74+55421.09</f>
        <v>208718.83</v>
      </c>
      <c r="H18" s="8">
        <v>56318.95</v>
      </c>
      <c r="I18" s="8">
        <f t="shared" ref="I18:N18" si="10">I61+I62</f>
        <v>576808.68999999994</v>
      </c>
      <c r="J18" s="8">
        <f t="shared" si="10"/>
        <v>618817.9</v>
      </c>
      <c r="K18" s="8">
        <f t="shared" si="10"/>
        <v>1619680.46</v>
      </c>
      <c r="L18" s="8">
        <f t="shared" si="10"/>
        <v>1704031.2</v>
      </c>
      <c r="M18" s="8">
        <f t="shared" si="10"/>
        <v>1704031.2</v>
      </c>
      <c r="N18" s="8">
        <f t="shared" si="10"/>
        <v>1704031.2</v>
      </c>
      <c r="O18" s="8">
        <f>O61+O62</f>
        <v>1704031.2</v>
      </c>
      <c r="P18" s="8">
        <v>0</v>
      </c>
      <c r="Q18" s="8">
        <v>0</v>
      </c>
      <c r="R18" s="8">
        <v>0</v>
      </c>
    </row>
    <row r="19" spans="1:36" s="6" customFormat="1" ht="15.75" thickBot="1" x14ac:dyDescent="0.3">
      <c r="A19" s="2" t="s">
        <v>14</v>
      </c>
      <c r="C19" s="9">
        <f>SUM(C16:C18)</f>
        <v>127763320.49000002</v>
      </c>
      <c r="E19" s="9">
        <f>SUM(E16:E18)</f>
        <v>177664991.55000001</v>
      </c>
      <c r="G19" s="9">
        <f>SUM(G16:G18)</f>
        <v>198682574.33000001</v>
      </c>
      <c r="H19" s="9">
        <f t="shared" ref="H19:R19" si="11">SUM(H16:H18)</f>
        <v>203843122.92000002</v>
      </c>
      <c r="I19" s="9">
        <f t="shared" si="11"/>
        <v>187229554.23000002</v>
      </c>
      <c r="J19" s="9">
        <f t="shared" si="11"/>
        <v>217750352.99000001</v>
      </c>
      <c r="K19" s="9">
        <f t="shared" si="11"/>
        <v>202240311.64999998</v>
      </c>
      <c r="L19" s="9">
        <f t="shared" si="11"/>
        <v>178183298.47099996</v>
      </c>
      <c r="M19" s="9">
        <f t="shared" si="11"/>
        <v>133030009.81000002</v>
      </c>
      <c r="N19" s="9">
        <f t="shared" si="11"/>
        <v>124683452.90000004</v>
      </c>
      <c r="O19" s="9">
        <f t="shared" si="11"/>
        <v>127763320.49000002</v>
      </c>
      <c r="P19" s="9">
        <f t="shared" si="11"/>
        <v>0</v>
      </c>
      <c r="Q19" s="9">
        <f t="shared" si="11"/>
        <v>0</v>
      </c>
      <c r="R19" s="9">
        <f t="shared" si="11"/>
        <v>0</v>
      </c>
      <c r="S19" s="5"/>
      <c r="T19" s="56"/>
      <c r="U19" s="56"/>
      <c r="V19" s="56"/>
      <c r="W19" s="56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ht="15.75" hidden="1" thickTop="1" x14ac:dyDescent="0.25">
      <c r="C20" s="3">
        <f>+C19-E19</f>
        <v>-49901671.059999987</v>
      </c>
      <c r="N20" s="3">
        <f>213072143.68-N19</f>
        <v>88388690.779999971</v>
      </c>
    </row>
    <row r="21" spans="1:36" ht="15.75" hidden="1" thickTop="1" x14ac:dyDescent="0.25">
      <c r="C21" s="57">
        <f>+C20/E19</f>
        <v>-0.28087509320009302</v>
      </c>
    </row>
    <row r="22" spans="1:36" ht="15.75" hidden="1" thickTop="1" x14ac:dyDescent="0.25"/>
    <row r="23" spans="1:36" ht="15.75" thickTop="1" x14ac:dyDescent="0.25">
      <c r="A23" s="35" t="s">
        <v>19</v>
      </c>
      <c r="B23" s="36"/>
      <c r="C23" s="37"/>
      <c r="D23" s="36"/>
      <c r="E23" s="37"/>
      <c r="F23" s="36"/>
      <c r="G23" s="37" t="s">
        <v>270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1:36" x14ac:dyDescent="0.25">
      <c r="A24" s="2"/>
    </row>
    <row r="25" spans="1:36" x14ac:dyDescent="0.25">
      <c r="A25" s="4" t="s">
        <v>10</v>
      </c>
      <c r="C25" s="5" t="s">
        <v>268</v>
      </c>
      <c r="D25" s="6"/>
      <c r="E25" s="5" t="s">
        <v>269</v>
      </c>
      <c r="G25" s="40" t="s">
        <v>170</v>
      </c>
      <c r="H25" s="40" t="s">
        <v>171</v>
      </c>
      <c r="I25" s="40" t="s">
        <v>172</v>
      </c>
      <c r="J25" s="40" t="s">
        <v>173</v>
      </c>
      <c r="K25" s="40" t="s">
        <v>174</v>
      </c>
      <c r="L25" s="40" t="s">
        <v>175</v>
      </c>
      <c r="M25" s="40" t="s">
        <v>224</v>
      </c>
      <c r="N25" s="40" t="s">
        <v>225</v>
      </c>
      <c r="O25" s="40" t="s">
        <v>249</v>
      </c>
      <c r="P25" s="40" t="s">
        <v>250</v>
      </c>
      <c r="Q25" s="40" t="s">
        <v>251</v>
      </c>
      <c r="R25" s="40" t="s">
        <v>252</v>
      </c>
    </row>
    <row r="26" spans="1:36" x14ac:dyDescent="0.25">
      <c r="A26" s="11" t="s">
        <v>20</v>
      </c>
      <c r="B26" s="11"/>
      <c r="C26" s="12">
        <f>O26</f>
        <v>85380898.160000011</v>
      </c>
      <c r="D26" s="11"/>
      <c r="E26" s="3">
        <v>17184511.719999999</v>
      </c>
      <c r="G26" s="3">
        <v>29601444.59</v>
      </c>
      <c r="H26" s="3">
        <v>65304630.020000003</v>
      </c>
      <c r="I26" s="3">
        <v>44885575.689999998</v>
      </c>
      <c r="J26" s="3">
        <v>97873504.260000005</v>
      </c>
      <c r="K26" s="3">
        <v>92233426.200000003</v>
      </c>
      <c r="L26" s="3">
        <v>64614115.420999996</v>
      </c>
      <c r="M26" s="3">
        <f>70119427.88+21247584.32+4383441.15</f>
        <v>95750453.349999994</v>
      </c>
      <c r="N26" s="3">
        <f>19944784.81+60215579.25+2189928.79</f>
        <v>82350292.850000009</v>
      </c>
      <c r="O26" s="3">
        <f>16182199.86+65219067.13+3979631.17</f>
        <v>85380898.160000011</v>
      </c>
      <c r="P26" s="3">
        <v>0</v>
      </c>
      <c r="Q26" s="3">
        <v>0</v>
      </c>
      <c r="R26" s="3">
        <v>0</v>
      </c>
    </row>
    <row r="27" spans="1:36" x14ac:dyDescent="0.25">
      <c r="A27" s="11" t="s">
        <v>176</v>
      </c>
      <c r="B27" s="11"/>
      <c r="C27" s="12">
        <f t="shared" ref="C27:C48" si="12">O27</f>
        <v>14760569.82</v>
      </c>
      <c r="D27" s="11"/>
      <c r="E27" s="3">
        <v>18563512.280000001</v>
      </c>
      <c r="G27" s="3">
        <v>17828505.039999999</v>
      </c>
      <c r="H27" s="3">
        <v>27019340.48</v>
      </c>
      <c r="I27" s="3">
        <v>27860043.149999999</v>
      </c>
      <c r="J27" s="3">
        <v>21430565.890000001</v>
      </c>
      <c r="K27" s="3">
        <v>11730650.27</v>
      </c>
      <c r="L27" s="3">
        <v>14314659.789999999</v>
      </c>
      <c r="M27" s="3">
        <v>15634362.119999999</v>
      </c>
      <c r="N27" s="3">
        <v>17667335.050000001</v>
      </c>
      <c r="O27" s="3">
        <v>14760569.82</v>
      </c>
      <c r="P27" s="3">
        <v>0</v>
      </c>
      <c r="Q27" s="3">
        <v>0</v>
      </c>
      <c r="R27" s="3">
        <v>0</v>
      </c>
    </row>
    <row r="28" spans="1:36" x14ac:dyDescent="0.25">
      <c r="A28" s="11" t="s">
        <v>21</v>
      </c>
      <c r="B28" s="11"/>
      <c r="C28" s="12">
        <f t="shared" si="12"/>
        <v>0</v>
      </c>
      <c r="D28" s="11"/>
      <c r="E28" s="3">
        <v>7972222.8300000001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36" x14ac:dyDescent="0.25">
      <c r="A29" s="11" t="s">
        <v>22</v>
      </c>
      <c r="B29" s="11"/>
      <c r="C29" s="12">
        <f t="shared" si="12"/>
        <v>5711829.7699999996</v>
      </c>
      <c r="D29" s="11"/>
      <c r="E29" s="3">
        <v>20748942.719999999</v>
      </c>
      <c r="G29" s="3">
        <v>40069567.899999999</v>
      </c>
      <c r="H29" s="3">
        <v>13405450.41</v>
      </c>
      <c r="I29" s="3">
        <v>14077563.07</v>
      </c>
      <c r="J29" s="3">
        <v>11047941.18</v>
      </c>
      <c r="K29" s="3">
        <v>11382721.050000001</v>
      </c>
      <c r="L29" s="3">
        <v>11673022.82</v>
      </c>
      <c r="M29" s="3">
        <v>4091142.23</v>
      </c>
      <c r="N29" s="176">
        <v>5687366.5800000001</v>
      </c>
      <c r="O29" s="3">
        <v>5711829.7699999996</v>
      </c>
      <c r="P29" s="3">
        <v>0</v>
      </c>
      <c r="Q29" s="3">
        <v>0</v>
      </c>
      <c r="R29" s="3">
        <v>0</v>
      </c>
    </row>
    <row r="30" spans="1:36" x14ac:dyDescent="0.25">
      <c r="A30" s="11" t="s">
        <v>23</v>
      </c>
      <c r="B30" s="11"/>
      <c r="C30" s="12">
        <f t="shared" si="12"/>
        <v>3310073.39</v>
      </c>
      <c r="D30" s="11"/>
      <c r="E30" s="48">
        <v>27269615.129999999</v>
      </c>
      <c r="G30" s="3">
        <v>29639339.82</v>
      </c>
      <c r="H30" s="3">
        <v>20693576.77</v>
      </c>
      <c r="I30" s="3">
        <v>21108005.34</v>
      </c>
      <c r="J30" s="3">
        <v>18719644.84</v>
      </c>
      <c r="K30" s="3">
        <v>19394869.52</v>
      </c>
      <c r="L30" s="3">
        <v>17462410.899999999</v>
      </c>
      <c r="M30" s="3">
        <v>1541222.29</v>
      </c>
      <c r="N30" s="3">
        <v>2565102.5099999998</v>
      </c>
      <c r="O30" s="3">
        <v>3310073.39</v>
      </c>
      <c r="P30" s="3">
        <v>0</v>
      </c>
      <c r="Q30" s="3">
        <v>0</v>
      </c>
      <c r="R30" s="3">
        <v>0</v>
      </c>
    </row>
    <row r="31" spans="1:36" x14ac:dyDescent="0.25">
      <c r="A31" s="11" t="s">
        <v>24</v>
      </c>
      <c r="B31" s="11"/>
      <c r="C31" s="12">
        <f t="shared" si="12"/>
        <v>2077263.25</v>
      </c>
      <c r="D31" s="11"/>
      <c r="E31" s="3">
        <v>11987278.76</v>
      </c>
      <c r="G31" s="3">
        <v>13017170.84</v>
      </c>
      <c r="H31" s="3">
        <v>18368020.010000002</v>
      </c>
      <c r="I31" s="3">
        <v>11987278.76</v>
      </c>
      <c r="J31" s="3">
        <v>12594027.24</v>
      </c>
      <c r="K31" s="3">
        <v>23908353.48</v>
      </c>
      <c r="L31" s="3">
        <v>22639991.82</v>
      </c>
      <c r="M31" s="3">
        <v>3329049.21</v>
      </c>
      <c r="N31" s="3">
        <v>2869475.4</v>
      </c>
      <c r="O31" s="3">
        <v>2077263.25</v>
      </c>
      <c r="P31" s="3">
        <v>0</v>
      </c>
      <c r="Q31" s="3">
        <v>0</v>
      </c>
      <c r="R31" s="3">
        <v>0</v>
      </c>
    </row>
    <row r="32" spans="1:36" x14ac:dyDescent="0.25">
      <c r="A32" s="11" t="s">
        <v>25</v>
      </c>
      <c r="B32" s="11"/>
      <c r="C32" s="12">
        <f t="shared" si="12"/>
        <v>4690554.8499999996</v>
      </c>
      <c r="D32" s="11"/>
      <c r="E32" s="3">
        <v>17918600.530000001</v>
      </c>
      <c r="G32" s="3">
        <v>20793020.449999999</v>
      </c>
      <c r="H32" s="3">
        <v>12388099.119999999</v>
      </c>
      <c r="I32" s="3">
        <v>20793020.449999999</v>
      </c>
      <c r="J32" s="3">
        <v>16249404.98</v>
      </c>
      <c r="K32" s="3">
        <v>6764632.4500000002</v>
      </c>
      <c r="L32" s="3">
        <v>8730957.4000000004</v>
      </c>
      <c r="M32" s="3">
        <v>4661303.96</v>
      </c>
      <c r="N32" s="3">
        <v>6583470.6399999997</v>
      </c>
      <c r="O32" s="3">
        <v>4690554.8499999996</v>
      </c>
      <c r="P32" s="3">
        <v>0</v>
      </c>
      <c r="Q32" s="3">
        <v>0</v>
      </c>
      <c r="R32" s="3">
        <v>0</v>
      </c>
    </row>
    <row r="33" spans="1:18" x14ac:dyDescent="0.25">
      <c r="A33" s="11" t="s">
        <v>26</v>
      </c>
      <c r="B33" s="11"/>
      <c r="C33" s="12">
        <f t="shared" si="12"/>
        <v>771101.5</v>
      </c>
      <c r="D33" s="11"/>
      <c r="E33" s="3">
        <v>4506184.4400000004</v>
      </c>
      <c r="G33" s="3">
        <v>4845297.59</v>
      </c>
      <c r="H33" s="3">
        <v>4644806.03</v>
      </c>
      <c r="I33" s="3">
        <v>4845297.59</v>
      </c>
      <c r="J33" s="3">
        <v>3269859.9</v>
      </c>
      <c r="K33" s="3">
        <v>3533269.99</v>
      </c>
      <c r="L33" s="3">
        <v>4847000.57</v>
      </c>
      <c r="M33" s="3">
        <v>1704285.4</v>
      </c>
      <c r="N33" s="3">
        <v>287517.21999999997</v>
      </c>
      <c r="O33" s="3">
        <v>771101.5</v>
      </c>
      <c r="P33" s="3">
        <v>0</v>
      </c>
      <c r="Q33" s="3">
        <v>0</v>
      </c>
      <c r="R33" s="3">
        <v>0</v>
      </c>
    </row>
    <row r="34" spans="1:18" x14ac:dyDescent="0.25">
      <c r="A34" s="11" t="s">
        <v>27</v>
      </c>
      <c r="B34" s="11"/>
      <c r="C34" s="12">
        <f t="shared" si="12"/>
        <v>172147.46</v>
      </c>
      <c r="D34" s="11"/>
      <c r="E34" s="3">
        <v>2414705.2799999998</v>
      </c>
      <c r="G34" s="3">
        <v>2405134.16</v>
      </c>
      <c r="H34" s="3">
        <v>2470123.33</v>
      </c>
      <c r="I34" s="3">
        <v>2526420.81</v>
      </c>
      <c r="J34" s="3">
        <v>4907679.4400000004</v>
      </c>
      <c r="K34" s="3">
        <v>4980397.2300000004</v>
      </c>
      <c r="L34" s="3">
        <v>5084184.3899999997</v>
      </c>
      <c r="M34" s="3">
        <v>356535.84</v>
      </c>
      <c r="N34" s="176">
        <v>362035.84</v>
      </c>
      <c r="O34" s="3">
        <v>172147.46</v>
      </c>
      <c r="P34" s="3">
        <v>0</v>
      </c>
      <c r="Q34" s="3">
        <v>0</v>
      </c>
      <c r="R34" s="3">
        <v>0</v>
      </c>
    </row>
    <row r="35" spans="1:18" x14ac:dyDescent="0.25">
      <c r="A35" s="11" t="s">
        <v>28</v>
      </c>
      <c r="B35" s="11"/>
      <c r="C35" s="12">
        <f t="shared" si="12"/>
        <v>1532157.87</v>
      </c>
      <c r="D35" s="11"/>
      <c r="E35" s="3">
        <v>9025335.5800000001</v>
      </c>
      <c r="G35" s="3">
        <v>7799582.2300000004</v>
      </c>
      <c r="H35" s="3">
        <v>8422109.9399999995</v>
      </c>
      <c r="I35" s="3">
        <v>7799582.2300000004</v>
      </c>
      <c r="J35" s="3">
        <v>7406380.0599999996</v>
      </c>
      <c r="K35" s="3">
        <v>8133385.3300000001</v>
      </c>
      <c r="L35" s="3">
        <v>7390500.5499999998</v>
      </c>
      <c r="M35" s="3">
        <v>320450.96999999997</v>
      </c>
      <c r="N35" s="176">
        <v>231580.61</v>
      </c>
      <c r="O35" s="3">
        <v>1532157.87</v>
      </c>
      <c r="P35" s="3">
        <v>0</v>
      </c>
      <c r="Q35" s="3">
        <v>0</v>
      </c>
      <c r="R35" s="3">
        <v>0</v>
      </c>
    </row>
    <row r="36" spans="1:18" x14ac:dyDescent="0.25">
      <c r="A36" s="11" t="s">
        <v>29</v>
      </c>
      <c r="B36" s="11"/>
      <c r="C36" s="12">
        <f t="shared" si="12"/>
        <v>0</v>
      </c>
      <c r="D36" s="11"/>
      <c r="E36" s="3">
        <v>3860884.11</v>
      </c>
      <c r="G36" s="3">
        <v>3860884.11</v>
      </c>
      <c r="H36" s="3">
        <v>236474.6</v>
      </c>
      <c r="I36" s="3">
        <v>3860884.11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5">
      <c r="A37" s="7" t="s">
        <v>30</v>
      </c>
      <c r="C37" s="12">
        <f t="shared" si="12"/>
        <v>211547.79</v>
      </c>
      <c r="E37" s="3">
        <v>2461463.56</v>
      </c>
      <c r="G37" s="3">
        <v>2513722.36</v>
      </c>
      <c r="H37" s="3">
        <v>2524784.3199999998</v>
      </c>
      <c r="I37" s="3">
        <v>2513722.36</v>
      </c>
      <c r="J37" s="3">
        <v>1743902.98</v>
      </c>
      <c r="K37" s="3">
        <v>1743902.98</v>
      </c>
      <c r="L37" s="3">
        <v>1743902.98</v>
      </c>
      <c r="M37" s="3">
        <v>453069.51</v>
      </c>
      <c r="N37" s="3">
        <v>658117.30000000005</v>
      </c>
      <c r="O37" s="3">
        <v>211547.79</v>
      </c>
      <c r="P37" s="3">
        <v>0</v>
      </c>
      <c r="Q37" s="3">
        <v>0</v>
      </c>
      <c r="R37" s="3">
        <v>0</v>
      </c>
    </row>
    <row r="38" spans="1:18" x14ac:dyDescent="0.25">
      <c r="A38" s="11" t="s">
        <v>31</v>
      </c>
      <c r="B38" s="11"/>
      <c r="C38" s="12">
        <f t="shared" si="12"/>
        <v>370484.26</v>
      </c>
      <c r="D38" s="11"/>
      <c r="E38" s="3">
        <v>104290.75</v>
      </c>
      <c r="G38" s="3">
        <v>439777.64</v>
      </c>
      <c r="H38" s="3">
        <v>637325.82999999996</v>
      </c>
      <c r="I38" s="3">
        <v>439777.64</v>
      </c>
      <c r="J38" s="3">
        <v>354423.05</v>
      </c>
      <c r="K38" s="3">
        <v>355823.05</v>
      </c>
      <c r="L38" s="3">
        <v>159646.64000000001</v>
      </c>
      <c r="M38" s="3">
        <v>50600.82</v>
      </c>
      <c r="N38" s="3">
        <v>101154.63</v>
      </c>
      <c r="O38" s="3">
        <v>370484.26</v>
      </c>
      <c r="P38" s="3">
        <v>0</v>
      </c>
      <c r="Q38" s="3">
        <v>0</v>
      </c>
      <c r="R38" s="3">
        <v>0</v>
      </c>
    </row>
    <row r="39" spans="1:18" x14ac:dyDescent="0.25">
      <c r="A39" s="7" t="s">
        <v>32</v>
      </c>
      <c r="C39" s="12">
        <f t="shared" si="12"/>
        <v>987436.16</v>
      </c>
      <c r="E39" s="3">
        <v>880410.93</v>
      </c>
      <c r="G39" s="3">
        <v>842562.79</v>
      </c>
      <c r="H39" s="3">
        <v>847742.79</v>
      </c>
      <c r="I39" s="3">
        <v>842562.79</v>
      </c>
      <c r="J39" s="3">
        <v>842562.79</v>
      </c>
      <c r="K39" s="3">
        <v>786490.66</v>
      </c>
      <c r="L39" s="3">
        <v>905789.31</v>
      </c>
      <c r="M39" s="3">
        <v>187818.37</v>
      </c>
      <c r="N39" s="176">
        <v>379202.91</v>
      </c>
      <c r="O39" s="3">
        <v>987436.16</v>
      </c>
      <c r="P39" s="3">
        <v>0</v>
      </c>
      <c r="Q39" s="3">
        <v>0</v>
      </c>
      <c r="R39" s="3">
        <v>0</v>
      </c>
    </row>
    <row r="40" spans="1:18" x14ac:dyDescent="0.25">
      <c r="A40" s="7" t="s">
        <v>33</v>
      </c>
      <c r="C40" s="12">
        <f t="shared" si="12"/>
        <v>120621.27</v>
      </c>
      <c r="E40" s="3">
        <v>2825739.6</v>
      </c>
      <c r="G40" s="3">
        <v>1038642.24</v>
      </c>
      <c r="H40" s="3">
        <v>1060845.25</v>
      </c>
      <c r="I40" s="3">
        <v>1064945.25</v>
      </c>
      <c r="J40" s="3">
        <v>786209.37</v>
      </c>
      <c r="K40" s="3">
        <v>797875.57</v>
      </c>
      <c r="L40" s="3">
        <v>816411.2</v>
      </c>
      <c r="M40" s="3">
        <v>119023.34</v>
      </c>
      <c r="N40" s="3">
        <v>126165.12</v>
      </c>
      <c r="O40" s="3">
        <v>120621.27</v>
      </c>
      <c r="P40" s="3">
        <v>0</v>
      </c>
      <c r="Q40" s="3">
        <v>0</v>
      </c>
      <c r="R40" s="3">
        <v>0</v>
      </c>
    </row>
    <row r="41" spans="1:18" x14ac:dyDescent="0.25">
      <c r="A41" s="11" t="s">
        <v>34</v>
      </c>
      <c r="B41" s="11"/>
      <c r="C41" s="12">
        <f t="shared" si="12"/>
        <v>230671.64</v>
      </c>
      <c r="D41" s="11"/>
      <c r="E41" s="3">
        <v>293098.73</v>
      </c>
      <c r="G41" s="3">
        <v>1718212.9</v>
      </c>
      <c r="H41" s="3">
        <v>111149.18</v>
      </c>
      <c r="I41" s="3">
        <v>174516.98</v>
      </c>
      <c r="J41" s="3">
        <v>174516.98</v>
      </c>
      <c r="K41" s="3">
        <v>119394.44</v>
      </c>
      <c r="L41" s="3">
        <v>125944.84</v>
      </c>
      <c r="M41" s="3">
        <v>53623.02</v>
      </c>
      <c r="N41" s="3">
        <v>221433.76</v>
      </c>
      <c r="O41" s="3">
        <v>230671.64</v>
      </c>
      <c r="P41" s="3">
        <v>0</v>
      </c>
      <c r="Q41" s="3">
        <v>0</v>
      </c>
      <c r="R41" s="3">
        <v>0</v>
      </c>
    </row>
    <row r="42" spans="1:18" x14ac:dyDescent="0.25">
      <c r="A42" s="11" t="s">
        <v>35</v>
      </c>
      <c r="B42" s="11"/>
      <c r="C42" s="12">
        <f t="shared" si="12"/>
        <v>564916.5</v>
      </c>
      <c r="D42" s="11"/>
      <c r="E42" s="3">
        <v>3116461.08</v>
      </c>
      <c r="G42" s="3">
        <v>3224861.64</v>
      </c>
      <c r="H42" s="3">
        <v>2416322.7999999998</v>
      </c>
      <c r="I42" s="3">
        <v>2369596.9</v>
      </c>
      <c r="J42" s="3">
        <v>1531260.76</v>
      </c>
      <c r="K42" s="3">
        <v>1668598.47</v>
      </c>
      <c r="L42" s="3">
        <v>1675203.47</v>
      </c>
      <c r="M42" s="3">
        <v>150099.6</v>
      </c>
      <c r="N42" s="176">
        <v>7656.89</v>
      </c>
      <c r="O42" s="3">
        <v>564916.5</v>
      </c>
      <c r="P42" s="3">
        <v>0</v>
      </c>
      <c r="Q42" s="3">
        <v>0</v>
      </c>
      <c r="R42" s="3">
        <v>0</v>
      </c>
    </row>
    <row r="43" spans="1:18" x14ac:dyDescent="0.25">
      <c r="A43" s="11" t="s">
        <v>36</v>
      </c>
      <c r="B43" s="11"/>
      <c r="C43" s="12">
        <f t="shared" si="12"/>
        <v>631067.48</v>
      </c>
      <c r="D43" s="11"/>
      <c r="E43" s="48">
        <v>4856624.76</v>
      </c>
      <c r="G43" s="3">
        <v>2013822.24</v>
      </c>
      <c r="H43" s="3">
        <v>6279795.7800000003</v>
      </c>
      <c r="I43" s="3">
        <v>2013822.24</v>
      </c>
      <c r="J43" s="3">
        <v>1961130.05</v>
      </c>
      <c r="K43" s="3">
        <v>1961130.05</v>
      </c>
      <c r="L43" s="3">
        <v>1961130.05</v>
      </c>
      <c r="M43" s="3">
        <v>493179.68</v>
      </c>
      <c r="N43" s="3">
        <v>215424.37</v>
      </c>
      <c r="O43" s="3">
        <v>631067.48</v>
      </c>
      <c r="P43" s="3">
        <v>0</v>
      </c>
      <c r="Q43" s="3">
        <v>0</v>
      </c>
      <c r="R43" s="3">
        <v>0</v>
      </c>
    </row>
    <row r="44" spans="1:18" x14ac:dyDescent="0.25">
      <c r="A44" s="11" t="s">
        <v>37</v>
      </c>
      <c r="B44" s="11"/>
      <c r="C44" s="12">
        <f t="shared" si="12"/>
        <v>372647.74</v>
      </c>
      <c r="D44" s="11"/>
      <c r="E44" s="3">
        <v>218848.13</v>
      </c>
      <c r="G44" s="3">
        <v>288446.02</v>
      </c>
      <c r="H44" s="3">
        <v>187046.02</v>
      </c>
      <c r="I44" s="3">
        <v>288446.02</v>
      </c>
      <c r="J44" s="3">
        <v>432232.17</v>
      </c>
      <c r="K44" s="3">
        <v>475339.48</v>
      </c>
      <c r="L44" s="3">
        <v>279176.19</v>
      </c>
      <c r="M44" s="3">
        <v>49308.93</v>
      </c>
      <c r="N44" s="176">
        <v>50608.93</v>
      </c>
      <c r="O44" s="3">
        <v>372647.74</v>
      </c>
      <c r="P44" s="3">
        <v>0</v>
      </c>
      <c r="Q44" s="3">
        <v>0</v>
      </c>
      <c r="R44" s="3">
        <v>0</v>
      </c>
    </row>
    <row r="45" spans="1:18" x14ac:dyDescent="0.25">
      <c r="A45" s="11" t="s">
        <v>38</v>
      </c>
      <c r="B45" s="11"/>
      <c r="C45" s="12">
        <f t="shared" si="12"/>
        <v>0</v>
      </c>
      <c r="D45" s="11"/>
      <c r="E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</row>
    <row r="46" spans="1:18" x14ac:dyDescent="0.25">
      <c r="A46" s="11" t="s">
        <v>39</v>
      </c>
      <c r="B46" s="11"/>
      <c r="C46" s="12">
        <f t="shared" si="12"/>
        <v>2970073.39</v>
      </c>
      <c r="D46" s="11"/>
      <c r="E46" s="3">
        <v>5269769.34</v>
      </c>
      <c r="G46" s="3">
        <v>5345597.12</v>
      </c>
      <c r="H46" s="3">
        <v>5354699.92</v>
      </c>
      <c r="I46" s="3">
        <v>5345597.12</v>
      </c>
      <c r="J46" s="3">
        <v>5345597.12</v>
      </c>
      <c r="K46" s="3">
        <v>5345597.12</v>
      </c>
      <c r="L46" s="3">
        <v>6284540.8700000001</v>
      </c>
      <c r="M46" s="3">
        <v>1250550.98</v>
      </c>
      <c r="N46" s="176">
        <v>1493621.31</v>
      </c>
      <c r="O46" s="3">
        <v>2970073.39</v>
      </c>
      <c r="P46" s="3">
        <v>0</v>
      </c>
      <c r="Q46" s="3">
        <v>0</v>
      </c>
      <c r="R46" s="3">
        <v>0</v>
      </c>
    </row>
    <row r="47" spans="1:18" x14ac:dyDescent="0.25">
      <c r="A47" s="11" t="s">
        <v>40</v>
      </c>
      <c r="B47" s="11"/>
      <c r="C47" s="12">
        <f t="shared" si="12"/>
        <v>99019.09</v>
      </c>
      <c r="D47" s="11"/>
      <c r="E47" s="48">
        <v>2600060.62</v>
      </c>
      <c r="G47" s="3">
        <v>2923871.71</v>
      </c>
      <c r="H47" s="3">
        <v>2983624.63</v>
      </c>
      <c r="I47" s="3">
        <v>3161145.84</v>
      </c>
      <c r="J47" s="3">
        <v>2342043.7400000002</v>
      </c>
      <c r="K47" s="3">
        <v>2378595.62</v>
      </c>
      <c r="L47" s="3">
        <v>2386056.69</v>
      </c>
      <c r="M47" s="3">
        <v>92120.07</v>
      </c>
      <c r="N47" s="3">
        <v>32651.88</v>
      </c>
      <c r="O47" s="3">
        <v>99019.09</v>
      </c>
      <c r="P47" s="3">
        <v>0</v>
      </c>
      <c r="Q47" s="3">
        <v>0</v>
      </c>
      <c r="R47" s="3">
        <v>0</v>
      </c>
    </row>
    <row r="48" spans="1:18" x14ac:dyDescent="0.25">
      <c r="A48" s="11" t="s">
        <v>261</v>
      </c>
      <c r="B48" s="11"/>
      <c r="C48" s="12">
        <f t="shared" si="12"/>
        <v>61428.98</v>
      </c>
      <c r="D48" s="11"/>
      <c r="E48" s="48">
        <v>0</v>
      </c>
      <c r="G48" s="51">
        <v>2742035.98</v>
      </c>
      <c r="H48" s="51">
        <v>2908480.61</v>
      </c>
      <c r="I48" s="51">
        <v>2742035.98</v>
      </c>
      <c r="J48" s="34">
        <v>0</v>
      </c>
      <c r="K48" s="34">
        <v>0</v>
      </c>
      <c r="L48" s="51">
        <v>0</v>
      </c>
      <c r="M48" s="3">
        <v>5000</v>
      </c>
      <c r="N48" s="51">
        <v>56428.98</v>
      </c>
      <c r="O48" s="51">
        <v>61428.98</v>
      </c>
      <c r="P48" s="34">
        <v>0</v>
      </c>
      <c r="Q48" s="34">
        <v>0</v>
      </c>
      <c r="R48" s="34">
        <v>0</v>
      </c>
    </row>
    <row r="49" spans="1:25" ht="15.75" thickBot="1" x14ac:dyDescent="0.3">
      <c r="A49" s="2" t="s">
        <v>41</v>
      </c>
      <c r="B49" s="6"/>
      <c r="C49" s="9">
        <f>SUM(C26:C48)</f>
        <v>125026510.37000002</v>
      </c>
      <c r="D49" s="6"/>
      <c r="E49" s="9">
        <f>SUM(E26:E48)</f>
        <v>164078560.88000003</v>
      </c>
      <c r="G49" s="9">
        <f>SUM(G26:G48)</f>
        <v>192951499.37</v>
      </c>
      <c r="H49" s="9">
        <f t="shared" ref="H49:R49" si="13">SUM(H26:H48)</f>
        <v>198264447.84000003</v>
      </c>
      <c r="I49" s="9">
        <f t="shared" si="13"/>
        <v>180699840.32000002</v>
      </c>
      <c r="J49" s="9">
        <f t="shared" si="13"/>
        <v>209012886.80000001</v>
      </c>
      <c r="K49" s="9">
        <f t="shared" si="13"/>
        <v>197694452.95999998</v>
      </c>
      <c r="L49" s="9">
        <f t="shared" si="13"/>
        <v>173094645.90099996</v>
      </c>
      <c r="M49" s="9">
        <f t="shared" si="13"/>
        <v>130293199.69000001</v>
      </c>
      <c r="N49" s="9">
        <f t="shared" si="13"/>
        <v>121946642.78000003</v>
      </c>
      <c r="O49" s="9">
        <f t="shared" si="13"/>
        <v>125026510.37000002</v>
      </c>
      <c r="P49" s="9">
        <f t="shared" si="13"/>
        <v>0</v>
      </c>
      <c r="Q49" s="9">
        <f t="shared" si="13"/>
        <v>0</v>
      </c>
      <c r="R49" s="9">
        <f t="shared" si="13"/>
        <v>0</v>
      </c>
    </row>
    <row r="50" spans="1:25" ht="15.75" hidden="1" thickTop="1" x14ac:dyDescent="0.25">
      <c r="C50" s="3">
        <f>+C49-E49</f>
        <v>-39052050.510000005</v>
      </c>
    </row>
    <row r="51" spans="1:25" ht="15.75" hidden="1" thickTop="1" x14ac:dyDescent="0.25">
      <c r="C51" s="57">
        <f>+C50/E49</f>
        <v>-0.23800824617520255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55"/>
    </row>
    <row r="52" spans="1:25" ht="15.75" thickTop="1" x14ac:dyDescent="0.25">
      <c r="A52" s="35" t="s">
        <v>273</v>
      </c>
      <c r="B52" s="36"/>
      <c r="C52" s="37"/>
      <c r="D52" s="36"/>
      <c r="E52" s="37"/>
      <c r="F52" s="36"/>
      <c r="G52" s="37"/>
      <c r="H52" s="37"/>
      <c r="I52" s="37"/>
      <c r="J52" s="37" t="s">
        <v>235</v>
      </c>
      <c r="K52" s="37"/>
      <c r="L52" s="37"/>
      <c r="M52" s="37"/>
      <c r="N52" s="37"/>
      <c r="O52" s="37"/>
      <c r="P52" s="37" t="s">
        <v>235</v>
      </c>
      <c r="Q52" s="37" t="s">
        <v>235</v>
      </c>
      <c r="R52" s="37"/>
    </row>
    <row r="53" spans="1:25" x14ac:dyDescent="0.25">
      <c r="A53" s="2"/>
      <c r="P53" s="3" t="s">
        <v>235</v>
      </c>
      <c r="Q53" s="3" t="s">
        <v>235</v>
      </c>
    </row>
    <row r="54" spans="1:25" x14ac:dyDescent="0.25">
      <c r="A54" s="4" t="s">
        <v>10</v>
      </c>
      <c r="C54" s="5" t="s">
        <v>268</v>
      </c>
      <c r="D54" s="6"/>
      <c r="E54" s="5" t="s">
        <v>269</v>
      </c>
      <c r="G54" s="40" t="s">
        <v>170</v>
      </c>
      <c r="H54" s="40" t="s">
        <v>171</v>
      </c>
      <c r="I54" s="40" t="s">
        <v>172</v>
      </c>
      <c r="J54" s="40" t="s">
        <v>173</v>
      </c>
      <c r="K54" s="40" t="s">
        <v>174</v>
      </c>
      <c r="L54" s="40" t="s">
        <v>175</v>
      </c>
      <c r="M54" s="40" t="s">
        <v>224</v>
      </c>
      <c r="N54" s="40" t="s">
        <v>225</v>
      </c>
      <c r="O54" s="40" t="s">
        <v>249</v>
      </c>
      <c r="P54" s="40" t="s">
        <v>250</v>
      </c>
      <c r="Q54" s="40" t="s">
        <v>251</v>
      </c>
      <c r="R54" s="40" t="s">
        <v>252</v>
      </c>
    </row>
    <row r="55" spans="1:25" x14ac:dyDescent="0.25">
      <c r="A55" s="11" t="s">
        <v>42</v>
      </c>
      <c r="C55" s="260" t="str">
        <f>O55</f>
        <v xml:space="preserve">  </v>
      </c>
      <c r="E55" s="3">
        <v>2520236.2599999998</v>
      </c>
      <c r="G55" s="3">
        <v>0</v>
      </c>
      <c r="H55" s="3" t="s">
        <v>235</v>
      </c>
      <c r="I55" s="3">
        <v>0</v>
      </c>
      <c r="J55" s="3">
        <v>2165743.0699999998</v>
      </c>
      <c r="K55" s="3">
        <v>2122148.21</v>
      </c>
      <c r="L55" s="3">
        <v>2580591.35</v>
      </c>
      <c r="M55" s="3">
        <v>0</v>
      </c>
      <c r="N55" s="3" t="s">
        <v>235</v>
      </c>
      <c r="O55" s="3" t="s">
        <v>263</v>
      </c>
      <c r="P55" s="3">
        <v>0</v>
      </c>
      <c r="Q55" s="3" t="s">
        <v>235</v>
      </c>
      <c r="R55" s="3" t="s">
        <v>235</v>
      </c>
    </row>
    <row r="56" spans="1:25" x14ac:dyDescent="0.25">
      <c r="A56" s="11" t="s">
        <v>43</v>
      </c>
      <c r="B56" s="11"/>
      <c r="C56" s="260">
        <f t="shared" ref="C56:C64" si="14">O56</f>
        <v>423050.92</v>
      </c>
      <c r="D56" s="11"/>
      <c r="E56" s="3">
        <v>669793.52</v>
      </c>
      <c r="G56" s="3">
        <v>399008.37</v>
      </c>
      <c r="H56" s="3">
        <v>399008.37</v>
      </c>
      <c r="I56" s="3">
        <v>301266.02</v>
      </c>
      <c r="J56" s="3">
        <v>301266.02</v>
      </c>
      <c r="K56" s="3">
        <v>301266.02</v>
      </c>
      <c r="L56" s="3">
        <v>301266.02</v>
      </c>
      <c r="M56" s="3">
        <v>423050.92</v>
      </c>
      <c r="N56" s="3">
        <v>423050.92</v>
      </c>
      <c r="O56" s="3">
        <v>423050.92</v>
      </c>
      <c r="P56" s="3" t="s">
        <v>235</v>
      </c>
      <c r="Q56" s="3" t="s">
        <v>235</v>
      </c>
      <c r="R56" s="3" t="s">
        <v>235</v>
      </c>
    </row>
    <row r="57" spans="1:25" x14ac:dyDescent="0.25">
      <c r="A57" s="11" t="s">
        <v>44</v>
      </c>
      <c r="B57" s="11"/>
      <c r="C57" s="260">
        <f t="shared" si="14"/>
        <v>106964</v>
      </c>
      <c r="D57" s="11"/>
      <c r="E57" s="3">
        <v>1507241.61</v>
      </c>
      <c r="G57" s="3">
        <v>0</v>
      </c>
      <c r="H57" s="3" t="s">
        <v>235</v>
      </c>
      <c r="I57" s="3">
        <v>25527.439999999999</v>
      </c>
      <c r="J57" s="3">
        <v>25527.439999999999</v>
      </c>
      <c r="K57" s="3">
        <v>0</v>
      </c>
      <c r="L57" s="3">
        <v>0</v>
      </c>
      <c r="M57" s="3">
        <v>502764</v>
      </c>
      <c r="N57" s="3">
        <v>106964</v>
      </c>
      <c r="O57" s="3">
        <v>106964</v>
      </c>
      <c r="P57" s="3" t="s">
        <v>235</v>
      </c>
      <c r="Q57" s="3" t="s">
        <v>263</v>
      </c>
      <c r="R57" s="3" t="s">
        <v>235</v>
      </c>
    </row>
    <row r="58" spans="1:25" x14ac:dyDescent="0.25">
      <c r="A58" s="11" t="s">
        <v>45</v>
      </c>
      <c r="B58" s="11"/>
      <c r="C58" s="260" t="str">
        <f t="shared" si="14"/>
        <v xml:space="preserve"> </v>
      </c>
      <c r="D58" s="11"/>
      <c r="E58" s="3">
        <v>0</v>
      </c>
      <c r="G58" s="3">
        <v>0</v>
      </c>
      <c r="H58" s="3" t="s">
        <v>235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 t="s">
        <v>263</v>
      </c>
      <c r="O58" s="3" t="s">
        <v>235</v>
      </c>
      <c r="P58" s="3" t="s">
        <v>235</v>
      </c>
      <c r="Q58" s="3" t="s">
        <v>235</v>
      </c>
      <c r="R58" s="3" t="s">
        <v>235</v>
      </c>
      <c r="Y58" s="3">
        <v>63370523.579999998</v>
      </c>
    </row>
    <row r="59" spans="1:25" x14ac:dyDescent="0.25">
      <c r="A59" s="11" t="s">
        <v>46</v>
      </c>
      <c r="B59" s="11"/>
      <c r="C59" s="260" t="str">
        <f t="shared" si="14"/>
        <v xml:space="preserve"> </v>
      </c>
      <c r="D59" s="11"/>
      <c r="E59" s="3">
        <v>0</v>
      </c>
      <c r="G59" s="3">
        <v>0</v>
      </c>
      <c r="H59" s="3" t="s">
        <v>264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 t="s">
        <v>235</v>
      </c>
      <c r="O59" s="3" t="s">
        <v>235</v>
      </c>
      <c r="P59" s="3" t="s">
        <v>235</v>
      </c>
      <c r="Q59" s="3" t="s">
        <v>235</v>
      </c>
      <c r="R59" s="3" t="s">
        <v>235</v>
      </c>
      <c r="Y59" s="3">
        <v>62225127.479999997</v>
      </c>
    </row>
    <row r="60" spans="1:25" x14ac:dyDescent="0.25">
      <c r="A60" s="11" t="s">
        <v>266</v>
      </c>
      <c r="B60" s="11"/>
      <c r="C60" s="260">
        <f t="shared" si="14"/>
        <v>0</v>
      </c>
      <c r="D60" s="11"/>
      <c r="E60" s="3">
        <v>0</v>
      </c>
      <c r="G60" s="3">
        <v>5123347.76</v>
      </c>
      <c r="H60" s="3">
        <v>5123347.76</v>
      </c>
      <c r="I60" s="3">
        <v>5123347.76</v>
      </c>
      <c r="J60" s="3">
        <v>5123347.76</v>
      </c>
      <c r="K60" s="3">
        <v>0</v>
      </c>
      <c r="L60" s="3">
        <v>0</v>
      </c>
      <c r="M60" s="3">
        <v>0</v>
      </c>
      <c r="Y60" s="3"/>
    </row>
    <row r="61" spans="1:25" x14ac:dyDescent="0.25">
      <c r="A61" s="7" t="s">
        <v>274</v>
      </c>
      <c r="B61" s="11"/>
      <c r="C61" s="260">
        <f t="shared" si="14"/>
        <v>264002.73</v>
      </c>
      <c r="D61" s="11"/>
      <c r="I61" s="3">
        <v>210255.99</v>
      </c>
      <c r="J61" s="3">
        <v>222620.83</v>
      </c>
      <c r="K61" s="3">
        <v>243377.47</v>
      </c>
      <c r="L61" s="3">
        <v>264002.73</v>
      </c>
      <c r="M61" s="3">
        <v>264002.73</v>
      </c>
      <c r="N61" s="3">
        <v>264002.73</v>
      </c>
      <c r="O61" s="3">
        <v>264002.73</v>
      </c>
      <c r="Y61" s="3"/>
    </row>
    <row r="62" spans="1:25" x14ac:dyDescent="0.25">
      <c r="A62" s="7" t="s">
        <v>275</v>
      </c>
      <c r="B62" s="11"/>
      <c r="C62" s="260">
        <f t="shared" si="14"/>
        <v>1440028.47</v>
      </c>
      <c r="D62" s="11"/>
      <c r="E62" s="8"/>
      <c r="I62" s="3">
        <v>366552.7</v>
      </c>
      <c r="J62" s="3">
        <v>396197.07</v>
      </c>
      <c r="K62" s="3">
        <v>1376302.99</v>
      </c>
      <c r="L62" s="3">
        <v>1440028.47</v>
      </c>
      <c r="M62" s="3">
        <v>1440028.47</v>
      </c>
      <c r="N62" s="3">
        <v>1440028.47</v>
      </c>
      <c r="O62" s="3">
        <v>1440028.47</v>
      </c>
      <c r="Y62" s="3"/>
    </row>
    <row r="63" spans="1:25" x14ac:dyDescent="0.25">
      <c r="A63" s="7" t="s">
        <v>276</v>
      </c>
      <c r="B63" s="11"/>
      <c r="C63" s="260">
        <f t="shared" si="14"/>
        <v>502764</v>
      </c>
      <c r="D63" s="11"/>
      <c r="E63" s="8"/>
      <c r="I63" s="3">
        <v>502764</v>
      </c>
      <c r="J63" s="3">
        <v>502764</v>
      </c>
      <c r="K63" s="3">
        <v>502764</v>
      </c>
      <c r="L63" s="3">
        <v>502764</v>
      </c>
      <c r="M63" s="3">
        <v>106964</v>
      </c>
      <c r="N63" s="3">
        <v>502764</v>
      </c>
      <c r="O63" s="3">
        <v>502764</v>
      </c>
      <c r="Y63" s="3"/>
    </row>
    <row r="64" spans="1:25" x14ac:dyDescent="0.25">
      <c r="A64" s="11" t="s">
        <v>47</v>
      </c>
      <c r="B64" s="11"/>
      <c r="C64" s="260" t="str">
        <f t="shared" si="14"/>
        <v xml:space="preserve"> </v>
      </c>
      <c r="D64" s="11"/>
      <c r="E64" s="8">
        <v>38904.28</v>
      </c>
      <c r="G64" s="3" t="s">
        <v>235</v>
      </c>
      <c r="H64" s="3" t="s">
        <v>235</v>
      </c>
      <c r="I64" s="3">
        <v>0</v>
      </c>
      <c r="J64" s="3">
        <v>0</v>
      </c>
      <c r="K64" s="3">
        <v>0</v>
      </c>
      <c r="L64" s="3">
        <v>0</v>
      </c>
      <c r="M64" s="3" t="s">
        <v>235</v>
      </c>
      <c r="N64" s="3">
        <v>0</v>
      </c>
      <c r="O64" s="3" t="s">
        <v>235</v>
      </c>
      <c r="P64" s="3" t="s">
        <v>235</v>
      </c>
      <c r="Q64" s="3" t="s">
        <v>235</v>
      </c>
      <c r="R64" s="3">
        <v>0</v>
      </c>
      <c r="Y64" s="3">
        <f>Y58-Y59</f>
        <v>1145396.1000000015</v>
      </c>
    </row>
    <row r="65" spans="1:25" ht="30.75" thickBot="1" x14ac:dyDescent="0.3">
      <c r="A65" s="2" t="s">
        <v>48</v>
      </c>
      <c r="B65" s="6"/>
      <c r="C65" s="9">
        <f>SUM(C55:C64)</f>
        <v>2736810.12</v>
      </c>
      <c r="D65" s="6"/>
      <c r="E65" s="9">
        <f>SUM(E55:E64)</f>
        <v>4736175.67</v>
      </c>
      <c r="G65" s="9">
        <f>SUM(G55:G64)</f>
        <v>5522356.1299999999</v>
      </c>
      <c r="H65" s="9">
        <f t="shared" ref="H65:R65" si="15">SUM(H55:H64)</f>
        <v>5522356.1299999999</v>
      </c>
      <c r="I65" s="9">
        <f t="shared" si="15"/>
        <v>6529713.9100000001</v>
      </c>
      <c r="J65" s="9">
        <f t="shared" si="15"/>
        <v>8737466.1899999995</v>
      </c>
      <c r="K65" s="9">
        <f t="shared" si="15"/>
        <v>4545858.6900000004</v>
      </c>
      <c r="L65" s="9">
        <f t="shared" si="15"/>
        <v>5088652.57</v>
      </c>
      <c r="M65" s="9">
        <f t="shared" si="15"/>
        <v>2736810.12</v>
      </c>
      <c r="N65" s="9">
        <f t="shared" si="15"/>
        <v>2736810.12</v>
      </c>
      <c r="O65" s="9">
        <f t="shared" si="15"/>
        <v>2736810.12</v>
      </c>
      <c r="P65" s="9">
        <f t="shared" si="15"/>
        <v>0</v>
      </c>
      <c r="Q65" s="9">
        <f t="shared" si="15"/>
        <v>0</v>
      </c>
      <c r="R65" s="9">
        <f t="shared" si="15"/>
        <v>0</v>
      </c>
      <c r="Y65" s="3"/>
    </row>
    <row r="66" spans="1:25" ht="23.25" customHeight="1" thickTop="1" x14ac:dyDescent="0.25">
      <c r="C66" s="3">
        <f>+C65-E65</f>
        <v>-1999365.5499999998</v>
      </c>
      <c r="H66" s="3" t="s">
        <v>263</v>
      </c>
      <c r="Y66" s="3" t="s">
        <v>235</v>
      </c>
    </row>
    <row r="67" spans="1:25" ht="19.5" customHeight="1" x14ac:dyDescent="0.25">
      <c r="C67" s="57">
        <f>+C66/E65</f>
        <v>-0.42214767553163834</v>
      </c>
      <c r="H67" s="3" t="s">
        <v>235</v>
      </c>
      <c r="M67" s="3">
        <f>M65-M61-M62</f>
        <v>1032778.9200000002</v>
      </c>
      <c r="N67" s="3" t="s">
        <v>235</v>
      </c>
      <c r="O67" s="3" t="s">
        <v>235</v>
      </c>
      <c r="Y67" s="3">
        <f>62225127.48+18862843.11+863689.4-18417264.12-1012804.96</f>
        <v>62521590.910000004</v>
      </c>
    </row>
    <row r="68" spans="1:25" x14ac:dyDescent="0.25">
      <c r="A68" s="35" t="s">
        <v>49</v>
      </c>
      <c r="B68" s="36"/>
      <c r="C68" s="37"/>
      <c r="D68" s="36"/>
      <c r="E68" s="37"/>
      <c r="F68" s="36"/>
      <c r="G68" s="37"/>
      <c r="H68" s="37"/>
      <c r="I68" s="37"/>
      <c r="J68" s="37"/>
      <c r="K68" s="37"/>
      <c r="L68" s="37"/>
      <c r="M68" s="37" t="s">
        <v>235</v>
      </c>
      <c r="N68" s="37"/>
      <c r="O68" s="37" t="s">
        <v>235</v>
      </c>
      <c r="P68" s="37"/>
      <c r="Q68" s="37"/>
      <c r="R68" s="37"/>
      <c r="Y68" s="107">
        <f>63880174.01-50532284.71</f>
        <v>13347889.299999997</v>
      </c>
    </row>
    <row r="69" spans="1:25" x14ac:dyDescent="0.25">
      <c r="A69" s="2"/>
    </row>
    <row r="70" spans="1:25" x14ac:dyDescent="0.25">
      <c r="A70" s="4" t="s">
        <v>10</v>
      </c>
      <c r="C70" s="5" t="s">
        <v>268</v>
      </c>
      <c r="D70" s="6"/>
      <c r="E70" s="5" t="s">
        <v>269</v>
      </c>
      <c r="G70" s="40" t="s">
        <v>170</v>
      </c>
      <c r="H70" s="40" t="s">
        <v>171</v>
      </c>
      <c r="I70" s="40" t="s">
        <v>172</v>
      </c>
      <c r="J70" s="40" t="s">
        <v>173</v>
      </c>
      <c r="K70" s="40" t="s">
        <v>174</v>
      </c>
      <c r="L70" s="40" t="s">
        <v>175</v>
      </c>
      <c r="M70" s="40" t="s">
        <v>224</v>
      </c>
      <c r="N70" s="40" t="s">
        <v>225</v>
      </c>
      <c r="O70" s="40" t="s">
        <v>249</v>
      </c>
      <c r="P70" s="40" t="s">
        <v>250</v>
      </c>
      <c r="Q70" s="40" t="s">
        <v>251</v>
      </c>
      <c r="R70" s="40" t="s">
        <v>252</v>
      </c>
    </row>
    <row r="71" spans="1:25" ht="45" x14ac:dyDescent="0.25">
      <c r="A71" s="7" t="s">
        <v>50</v>
      </c>
      <c r="C71" s="3">
        <f>+O71</f>
        <v>80025278.200000003</v>
      </c>
      <c r="E71" s="3">
        <f>51816197.92</f>
        <v>51816197.920000002</v>
      </c>
      <c r="G71" s="3">
        <v>57173482.18</v>
      </c>
      <c r="H71" s="3">
        <v>59421582.090000004</v>
      </c>
      <c r="I71" s="3">
        <v>62307366.859999999</v>
      </c>
      <c r="J71" s="3">
        <v>62300634.039999999</v>
      </c>
      <c r="K71" s="3">
        <v>57947729.159999996</v>
      </c>
      <c r="L71" s="3">
        <v>69162832.790000007</v>
      </c>
      <c r="M71" s="3">
        <v>71944209.290000007</v>
      </c>
      <c r="N71" s="3">
        <v>76318737.75</v>
      </c>
      <c r="O71" s="3">
        <v>80025278.200000003</v>
      </c>
      <c r="P71" s="3">
        <v>0</v>
      </c>
      <c r="Q71" s="3">
        <v>0</v>
      </c>
      <c r="R71" s="3">
        <v>0</v>
      </c>
    </row>
    <row r="72" spans="1:25" ht="30" x14ac:dyDescent="0.25">
      <c r="A72" s="7" t="s">
        <v>51</v>
      </c>
      <c r="C72" s="3">
        <f t="shared" ref="C72" si="16">+O72</f>
        <v>2442894.2000000002</v>
      </c>
      <c r="E72" s="3">
        <v>2913222.47</v>
      </c>
      <c r="G72" s="3">
        <v>2199390.4</v>
      </c>
      <c r="H72" s="3">
        <v>1887073.42</v>
      </c>
      <c r="I72" s="3">
        <v>1960367.55</v>
      </c>
      <c r="J72" s="3">
        <v>1886066.21</v>
      </c>
      <c r="K72" s="3">
        <v>2473340.25</v>
      </c>
      <c r="L72" s="3">
        <v>3123965.46</v>
      </c>
      <c r="M72" s="3">
        <v>3960120.7</v>
      </c>
      <c r="N72" s="3">
        <v>3172547.63</v>
      </c>
      <c r="O72" s="3">
        <v>2442894.2000000002</v>
      </c>
      <c r="P72" s="3">
        <v>0</v>
      </c>
      <c r="Q72" s="3">
        <v>0</v>
      </c>
      <c r="R72" s="3">
        <v>0</v>
      </c>
    </row>
    <row r="73" spans="1:25" ht="15.75" thickBot="1" x14ac:dyDescent="0.3">
      <c r="A73" s="2" t="s">
        <v>52</v>
      </c>
      <c r="B73" s="6"/>
      <c r="C73" s="9">
        <f>SUM(C71:C72)</f>
        <v>82468172.400000006</v>
      </c>
      <c r="D73" s="6"/>
      <c r="E73" s="9">
        <f>SUM(E71:E72)</f>
        <v>54729420.390000001</v>
      </c>
      <c r="G73" s="9">
        <f>SUM(G71:G72)</f>
        <v>59372872.579999998</v>
      </c>
      <c r="H73" s="9">
        <f t="shared" ref="H73:R73" si="17">SUM(H71:H72)</f>
        <v>61308655.510000005</v>
      </c>
      <c r="I73" s="9">
        <f t="shared" si="17"/>
        <v>64267734.409999996</v>
      </c>
      <c r="J73" s="9">
        <f t="shared" si="17"/>
        <v>64186700.25</v>
      </c>
      <c r="K73" s="9">
        <f t="shared" si="17"/>
        <v>60421069.409999996</v>
      </c>
      <c r="L73" s="9">
        <f t="shared" si="17"/>
        <v>72286798.25</v>
      </c>
      <c r="M73" s="9">
        <f t="shared" si="17"/>
        <v>75904329.99000001</v>
      </c>
      <c r="N73" s="9">
        <f t="shared" si="17"/>
        <v>79491285.379999995</v>
      </c>
      <c r="O73" s="9">
        <f t="shared" si="17"/>
        <v>82468172.400000006</v>
      </c>
      <c r="P73" s="9">
        <f t="shared" si="17"/>
        <v>0</v>
      </c>
      <c r="Q73" s="9">
        <f t="shared" si="17"/>
        <v>0</v>
      </c>
      <c r="R73" s="9">
        <f t="shared" si="17"/>
        <v>0</v>
      </c>
    </row>
    <row r="74" spans="1:25" ht="15.75" hidden="1" thickTop="1" x14ac:dyDescent="0.25">
      <c r="C74" s="3">
        <f>+C73-E73</f>
        <v>27738752.010000005</v>
      </c>
    </row>
    <row r="75" spans="1:25" ht="15.75" hidden="1" thickTop="1" x14ac:dyDescent="0.25">
      <c r="C75" s="57">
        <f>+C74/E73</f>
        <v>0.5068343829029176</v>
      </c>
    </row>
    <row r="76" spans="1:25" ht="15.75" thickTop="1" x14ac:dyDescent="0.25">
      <c r="A76" s="35" t="s">
        <v>53</v>
      </c>
      <c r="B76" s="36"/>
      <c r="C76" s="37"/>
      <c r="D76" s="36"/>
      <c r="E76" s="37"/>
      <c r="F76" s="36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1:25" x14ac:dyDescent="0.25">
      <c r="A77" s="2"/>
      <c r="C77" s="3">
        <f>C73-E73</f>
        <v>27738752.010000005</v>
      </c>
      <c r="F77" s="153"/>
    </row>
    <row r="78" spans="1:25" x14ac:dyDescent="0.25">
      <c r="A78" s="4" t="s">
        <v>10</v>
      </c>
      <c r="C78" s="5" t="s">
        <v>268</v>
      </c>
      <c r="D78" s="6"/>
      <c r="E78" s="5" t="s">
        <v>269</v>
      </c>
      <c r="G78" s="40" t="s">
        <v>170</v>
      </c>
      <c r="H78" s="40" t="s">
        <v>171</v>
      </c>
      <c r="I78" s="40" t="s">
        <v>172</v>
      </c>
      <c r="J78" s="40" t="s">
        <v>173</v>
      </c>
      <c r="K78" s="40" t="s">
        <v>174</v>
      </c>
      <c r="L78" s="40" t="s">
        <v>175</v>
      </c>
      <c r="M78" s="40" t="s">
        <v>224</v>
      </c>
      <c r="N78" s="40" t="s">
        <v>225</v>
      </c>
      <c r="O78" s="40" t="s">
        <v>249</v>
      </c>
      <c r="P78" s="40" t="s">
        <v>250</v>
      </c>
      <c r="Q78" s="40" t="s">
        <v>251</v>
      </c>
      <c r="R78" s="40" t="s">
        <v>252</v>
      </c>
    </row>
    <row r="79" spans="1:25" x14ac:dyDescent="0.25">
      <c r="A79" s="7" t="s">
        <v>54</v>
      </c>
      <c r="C79" s="3">
        <f>N79</f>
        <v>4717.82</v>
      </c>
      <c r="E79" s="3">
        <v>12067.439999999999</v>
      </c>
      <c r="G79" s="3">
        <v>12067.439999999999</v>
      </c>
      <c r="H79" s="3">
        <v>4717.82</v>
      </c>
      <c r="I79" s="3">
        <v>4717.82</v>
      </c>
      <c r="J79" s="3">
        <v>4717.82</v>
      </c>
      <c r="K79" s="3">
        <v>4717.82</v>
      </c>
      <c r="L79" s="3">
        <v>4717.82</v>
      </c>
      <c r="M79" s="3">
        <v>4717.82</v>
      </c>
      <c r="N79" s="3">
        <v>4717.82</v>
      </c>
      <c r="O79" s="3">
        <v>4717.82</v>
      </c>
      <c r="P79" s="3" t="s">
        <v>235</v>
      </c>
      <c r="Q79" s="3" t="s">
        <v>235</v>
      </c>
      <c r="R79" s="3" t="s">
        <v>235</v>
      </c>
    </row>
    <row r="80" spans="1:25" x14ac:dyDescent="0.25">
      <c r="A80" s="7" t="s">
        <v>55</v>
      </c>
      <c r="C80" s="3">
        <f>N80</f>
        <v>390182.32</v>
      </c>
      <c r="E80" s="3">
        <v>12500.029999999988</v>
      </c>
      <c r="G80" s="3">
        <v>12500.029999999988</v>
      </c>
      <c r="H80" s="3">
        <v>4886.95</v>
      </c>
      <c r="I80" s="3">
        <v>4886.95</v>
      </c>
      <c r="J80" s="3">
        <v>4886.95</v>
      </c>
      <c r="K80" s="3">
        <v>4886.95</v>
      </c>
      <c r="L80" s="3">
        <f>4886.95+2311772.24</f>
        <v>2316659.1900000004</v>
      </c>
      <c r="M80" s="3">
        <f>4886.95+385295.37</f>
        <v>390182.32</v>
      </c>
      <c r="N80" s="3">
        <f>4886.95+385295.37</f>
        <v>390182.32</v>
      </c>
      <c r="O80" s="3">
        <f>4886.95+385295.37</f>
        <v>390182.32</v>
      </c>
      <c r="P80" s="3" t="s">
        <v>235</v>
      </c>
      <c r="Q80" s="3" t="s">
        <v>235</v>
      </c>
      <c r="R80" s="3" t="s">
        <v>235</v>
      </c>
    </row>
    <row r="81" spans="1:18" x14ac:dyDescent="0.25">
      <c r="A81" s="7" t="s">
        <v>56</v>
      </c>
      <c r="C81" s="3">
        <f>N81</f>
        <v>64956.07</v>
      </c>
      <c r="E81" s="3">
        <v>166147.28000000009</v>
      </c>
      <c r="G81" s="3">
        <v>166147.28000000009</v>
      </c>
      <c r="H81" s="3">
        <v>64956.07</v>
      </c>
      <c r="I81" s="3">
        <v>64956.07</v>
      </c>
      <c r="J81" s="3">
        <v>64956.07</v>
      </c>
      <c r="K81" s="3">
        <v>64956.07</v>
      </c>
      <c r="L81" s="3">
        <v>64956.07</v>
      </c>
      <c r="M81" s="3">
        <v>64956.07</v>
      </c>
      <c r="N81" s="3">
        <v>64956.07</v>
      </c>
      <c r="O81" s="3">
        <v>64956.07</v>
      </c>
      <c r="P81" s="3" t="s">
        <v>235</v>
      </c>
      <c r="Q81" s="3" t="s">
        <v>235</v>
      </c>
      <c r="R81" s="3" t="s">
        <v>235</v>
      </c>
    </row>
    <row r="82" spans="1:18" x14ac:dyDescent="0.25">
      <c r="A82" s="7" t="s">
        <v>57</v>
      </c>
      <c r="C82" s="3">
        <f>N82</f>
        <v>24376.05</v>
      </c>
      <c r="E82" s="3">
        <v>62350.049999999952</v>
      </c>
      <c r="G82" s="3">
        <v>62350.049999999952</v>
      </c>
      <c r="H82" s="3">
        <v>24376.05</v>
      </c>
      <c r="I82" s="3">
        <v>24376.05</v>
      </c>
      <c r="J82" s="3">
        <v>24376.05</v>
      </c>
      <c r="K82" s="3">
        <v>24376.05</v>
      </c>
      <c r="L82" s="3">
        <v>24376.05</v>
      </c>
      <c r="M82" s="3">
        <v>24376.05</v>
      </c>
      <c r="N82" s="3">
        <v>24376.05</v>
      </c>
      <c r="O82" s="3">
        <v>24376.05</v>
      </c>
      <c r="P82" s="3" t="s">
        <v>235</v>
      </c>
      <c r="Q82" s="3" t="s">
        <v>235</v>
      </c>
      <c r="R82" s="3" t="s">
        <v>235</v>
      </c>
    </row>
    <row r="83" spans="1:18" x14ac:dyDescent="0.25">
      <c r="A83" s="7" t="s">
        <v>587</v>
      </c>
      <c r="C83" s="3">
        <f>N83</f>
        <v>120696.79</v>
      </c>
      <c r="L83" s="3">
        <v>724180.75</v>
      </c>
      <c r="M83" s="3">
        <v>120696.79</v>
      </c>
      <c r="N83" s="3">
        <v>120696.79</v>
      </c>
      <c r="O83" s="3">
        <v>120696.79</v>
      </c>
    </row>
    <row r="84" spans="1:18" ht="15.75" thickBot="1" x14ac:dyDescent="0.3">
      <c r="A84" s="2" t="s">
        <v>58</v>
      </c>
      <c r="B84" s="6"/>
      <c r="C84" s="9">
        <f>SUM(C79:C83)</f>
        <v>604929.05000000005</v>
      </c>
      <c r="D84" s="6"/>
      <c r="E84" s="9">
        <f>SUM(E79:E83)</f>
        <v>253064.80000000002</v>
      </c>
      <c r="G84" s="9">
        <f>SUM(G79:G83)</f>
        <v>253064.80000000002</v>
      </c>
      <c r="H84" s="9">
        <f t="shared" ref="H84:R84" si="18">SUM(H79:H83)</f>
        <v>98936.89</v>
      </c>
      <c r="I84" s="9">
        <f t="shared" si="18"/>
        <v>98936.89</v>
      </c>
      <c r="J84" s="9">
        <f t="shared" si="18"/>
        <v>98936.89</v>
      </c>
      <c r="K84" s="9">
        <f t="shared" si="18"/>
        <v>98936.89</v>
      </c>
      <c r="L84" s="9">
        <f t="shared" si="18"/>
        <v>3134889.88</v>
      </c>
      <c r="M84" s="9">
        <f>SUM(M79:M83)</f>
        <v>604929.05000000005</v>
      </c>
      <c r="N84" s="9">
        <f>SUM(N79:N83)</f>
        <v>604929.05000000005</v>
      </c>
      <c r="O84" s="9">
        <f t="shared" si="18"/>
        <v>604929.05000000005</v>
      </c>
      <c r="P84" s="9">
        <f t="shared" si="18"/>
        <v>0</v>
      </c>
      <c r="Q84" s="9">
        <f t="shared" si="18"/>
        <v>0</v>
      </c>
      <c r="R84" s="9">
        <f t="shared" si="18"/>
        <v>0</v>
      </c>
    </row>
    <row r="85" spans="1:18" ht="15.75" hidden="1" thickTop="1" x14ac:dyDescent="0.25">
      <c r="C85" s="3">
        <f>+C84-E84</f>
        <v>351864.25</v>
      </c>
    </row>
    <row r="86" spans="1:18" ht="15.75" hidden="1" thickTop="1" x14ac:dyDescent="0.25">
      <c r="C86" s="59">
        <f>+C85/E84</f>
        <v>1.3904116653125997</v>
      </c>
    </row>
    <row r="87" spans="1:18" ht="15.75" thickTop="1" x14ac:dyDescent="0.25">
      <c r="C87" s="59"/>
      <c r="M87" s="3" t="s">
        <v>235</v>
      </c>
    </row>
    <row r="88" spans="1:18" x14ac:dyDescent="0.25">
      <c r="A88" s="35" t="s">
        <v>59</v>
      </c>
      <c r="B88" s="36"/>
      <c r="C88" s="37"/>
      <c r="D88" s="36"/>
      <c r="E88" s="37"/>
      <c r="F88" s="36"/>
      <c r="G88" s="37"/>
      <c r="H88" s="37"/>
      <c r="I88" s="37"/>
      <c r="J88" s="37"/>
      <c r="K88" s="37"/>
      <c r="L88" s="37"/>
      <c r="M88" s="37" t="s">
        <v>235</v>
      </c>
      <c r="N88" s="37"/>
      <c r="O88" s="37"/>
      <c r="P88" s="37"/>
      <c r="Q88" s="37"/>
      <c r="R88" s="37"/>
    </row>
    <row r="89" spans="1:18" x14ac:dyDescent="0.25">
      <c r="A89" s="2"/>
      <c r="M89" s="3" t="s">
        <v>235</v>
      </c>
    </row>
    <row r="90" spans="1:18" ht="45" hidden="1" x14ac:dyDescent="0.2">
      <c r="A90" s="22"/>
      <c r="B90" s="23"/>
      <c r="C90" s="24" t="s">
        <v>60</v>
      </c>
      <c r="D90" s="23"/>
      <c r="E90" s="24" t="s">
        <v>61</v>
      </c>
      <c r="F90" s="23"/>
      <c r="G90" s="49" t="s">
        <v>62</v>
      </c>
      <c r="H90" s="50" t="s">
        <v>63</v>
      </c>
      <c r="I90" s="42"/>
    </row>
    <row r="91" spans="1:18" hidden="1" x14ac:dyDescent="0.25">
      <c r="A91" s="25" t="s">
        <v>183</v>
      </c>
      <c r="B91" s="23"/>
      <c r="C91" s="26">
        <v>435917181.16000003</v>
      </c>
      <c r="D91" s="27"/>
      <c r="E91" s="26">
        <v>111980014.55</v>
      </c>
      <c r="F91" s="27"/>
      <c r="G91" s="41">
        <v>2050790.8</v>
      </c>
      <c r="H91" s="41">
        <f>SUM(C91:G91)</f>
        <v>549947986.50999999</v>
      </c>
      <c r="I91" s="42"/>
    </row>
    <row r="92" spans="1:18" hidden="1" x14ac:dyDescent="0.25">
      <c r="A92" s="28" t="s">
        <v>64</v>
      </c>
      <c r="B92" s="23"/>
      <c r="C92" s="62"/>
      <c r="D92" s="63"/>
      <c r="E92" s="62"/>
      <c r="F92" s="63"/>
      <c r="G92" s="80"/>
      <c r="H92" s="64">
        <f>SUM(C92:G92)</f>
        <v>0</v>
      </c>
      <c r="I92" s="42"/>
    </row>
    <row r="93" spans="1:18" ht="15.75" hidden="1" thickBot="1" x14ac:dyDescent="0.3">
      <c r="A93" s="28" t="s">
        <v>66</v>
      </c>
      <c r="B93" s="23"/>
      <c r="C93" s="29">
        <f>SUM(C91:C92)</f>
        <v>435917181.16000003</v>
      </c>
      <c r="D93" s="27"/>
      <c r="E93" s="29">
        <f>SUM(E91:E92)</f>
        <v>111980014.55</v>
      </c>
      <c r="F93" s="27"/>
      <c r="G93" s="43">
        <f>SUM(G91:G92)</f>
        <v>2050790.8</v>
      </c>
      <c r="H93" s="43">
        <f>SUM(H91:H92)</f>
        <v>549947986.50999999</v>
      </c>
      <c r="I93" s="42"/>
    </row>
    <row r="94" spans="1:18" hidden="1" x14ac:dyDescent="0.25">
      <c r="A94" s="25" t="s">
        <v>67</v>
      </c>
      <c r="B94" s="23"/>
      <c r="C94" s="30"/>
      <c r="D94" s="27"/>
      <c r="E94" s="30"/>
      <c r="F94" s="27"/>
      <c r="G94" s="44"/>
      <c r="H94" s="44"/>
      <c r="I94" s="42"/>
      <c r="J94"/>
      <c r="K94"/>
    </row>
    <row r="95" spans="1:18" hidden="1" x14ac:dyDescent="0.25">
      <c r="A95" s="28" t="s">
        <v>68</v>
      </c>
      <c r="B95" s="23"/>
      <c r="C95" s="26">
        <v>-335989468.41000003</v>
      </c>
      <c r="D95" s="27"/>
      <c r="E95" s="26">
        <v>-71732563.510000005</v>
      </c>
      <c r="F95" s="27"/>
      <c r="G95" s="41">
        <v>-1274602.4099999999</v>
      </c>
      <c r="H95" s="41">
        <f>SUM(C95:G95)</f>
        <v>-408996634.33000004</v>
      </c>
      <c r="I95" s="42"/>
      <c r="J95"/>
      <c r="K95"/>
    </row>
    <row r="96" spans="1:18" hidden="1" x14ac:dyDescent="0.25">
      <c r="A96" s="28" t="s">
        <v>69</v>
      </c>
      <c r="B96" s="23"/>
      <c r="C96" s="62"/>
      <c r="D96" s="63"/>
      <c r="E96" s="62"/>
      <c r="F96" s="63"/>
      <c r="G96" s="64"/>
      <c r="H96" s="64">
        <f>SUM(C96:G96)</f>
        <v>0</v>
      </c>
      <c r="I96" s="42"/>
      <c r="J96"/>
      <c r="K96"/>
    </row>
    <row r="97" spans="1:18" ht="15.75" hidden="1" thickBot="1" x14ac:dyDescent="0.3">
      <c r="A97" s="28" t="s">
        <v>65</v>
      </c>
      <c r="B97" s="23"/>
      <c r="C97" s="61">
        <v>0</v>
      </c>
      <c r="D97" s="27"/>
      <c r="E97" s="61">
        <v>0</v>
      </c>
      <c r="F97" s="27"/>
      <c r="G97" s="61">
        <v>0</v>
      </c>
      <c r="H97" s="60">
        <f>SUM(C97:G97)</f>
        <v>0</v>
      </c>
      <c r="I97" s="42"/>
    </row>
    <row r="98" spans="1:18" ht="15.75" hidden="1" thickBot="1" x14ac:dyDescent="0.3">
      <c r="A98" s="28" t="s">
        <v>70</v>
      </c>
      <c r="B98" s="23"/>
      <c r="C98" s="31">
        <f>SUM(C95:C97)</f>
        <v>-335989468.41000003</v>
      </c>
      <c r="D98" s="27"/>
      <c r="E98" s="31">
        <f>SUM(E95:E97)</f>
        <v>-71732563.510000005</v>
      </c>
      <c r="F98" s="27"/>
      <c r="G98" s="45">
        <f>SUM(G95:G97)</f>
        <v>-1274602.4099999999</v>
      </c>
      <c r="H98" s="46">
        <f>SUM(H95:H97)</f>
        <v>-408996634.33000004</v>
      </c>
      <c r="I98" s="42"/>
    </row>
    <row r="99" spans="1:18" ht="15.75" hidden="1" thickBot="1" x14ac:dyDescent="0.3">
      <c r="A99" s="32" t="s">
        <v>184</v>
      </c>
      <c r="B99" s="23"/>
      <c r="C99" s="33">
        <f t="shared" ref="C99:G99" si="19">+C93+C98</f>
        <v>99927712.75</v>
      </c>
      <c r="D99" s="27"/>
      <c r="E99" s="33">
        <f t="shared" si="19"/>
        <v>40247451.039999992</v>
      </c>
      <c r="F99" s="27"/>
      <c r="G99" s="47">
        <f t="shared" si="19"/>
        <v>776188.39000000013</v>
      </c>
      <c r="H99" s="47">
        <f>+H93+H98</f>
        <v>140951352.17999995</v>
      </c>
      <c r="I99" s="42"/>
    </row>
    <row r="100" spans="1:18" hidden="1" x14ac:dyDescent="0.25"/>
    <row r="101" spans="1:18" x14ac:dyDescent="0.25">
      <c r="M101" s="3" t="s">
        <v>235</v>
      </c>
      <c r="N101" s="3" t="s">
        <v>235</v>
      </c>
      <c r="O101" s="3" t="s">
        <v>235</v>
      </c>
      <c r="P101" s="3" t="s">
        <v>235</v>
      </c>
    </row>
    <row r="102" spans="1:18" x14ac:dyDescent="0.25">
      <c r="A102" s="35" t="s">
        <v>71</v>
      </c>
      <c r="B102" s="36"/>
      <c r="C102" s="37"/>
      <c r="D102" s="36"/>
      <c r="E102" s="37"/>
      <c r="F102" s="36"/>
      <c r="G102" s="37"/>
      <c r="H102" s="37"/>
      <c r="I102" s="37"/>
      <c r="J102" s="37"/>
      <c r="K102" s="37"/>
      <c r="L102" s="37"/>
      <c r="M102" s="37" t="s">
        <v>235</v>
      </c>
      <c r="N102" s="37"/>
      <c r="O102" s="37" t="s">
        <v>235</v>
      </c>
      <c r="P102" s="37" t="s">
        <v>235</v>
      </c>
      <c r="Q102" s="37"/>
      <c r="R102" s="37"/>
    </row>
    <row r="103" spans="1:18" x14ac:dyDescent="0.25">
      <c r="A103" s="2"/>
      <c r="H103" s="3" t="s">
        <v>235</v>
      </c>
      <c r="M103" s="3" t="s">
        <v>235</v>
      </c>
      <c r="N103" s="3" t="s">
        <v>235</v>
      </c>
      <c r="O103" s="3" t="s">
        <v>263</v>
      </c>
      <c r="P103" s="3" t="s">
        <v>235</v>
      </c>
    </row>
    <row r="104" spans="1:18" x14ac:dyDescent="0.25">
      <c r="A104" s="4" t="s">
        <v>10</v>
      </c>
      <c r="C104" s="5" t="s">
        <v>268</v>
      </c>
      <c r="D104" s="6"/>
      <c r="E104" s="5" t="s">
        <v>269</v>
      </c>
      <c r="G104" s="40" t="s">
        <v>170</v>
      </c>
      <c r="H104" s="40" t="s">
        <v>171</v>
      </c>
      <c r="I104" s="40" t="s">
        <v>172</v>
      </c>
      <c r="J104" s="40" t="s">
        <v>173</v>
      </c>
      <c r="K104" s="40" t="s">
        <v>174</v>
      </c>
      <c r="L104" s="40" t="s">
        <v>175</v>
      </c>
      <c r="M104" s="40" t="s">
        <v>224</v>
      </c>
      <c r="N104" s="40" t="s">
        <v>225</v>
      </c>
      <c r="O104" s="40" t="s">
        <v>249</v>
      </c>
      <c r="P104" s="40" t="s">
        <v>250</v>
      </c>
      <c r="Q104" s="40" t="s">
        <v>251</v>
      </c>
      <c r="R104" s="40" t="s">
        <v>252</v>
      </c>
    </row>
    <row r="105" spans="1:18" ht="30" x14ac:dyDescent="0.25">
      <c r="A105" s="7" t="s">
        <v>72</v>
      </c>
      <c r="C105" s="3">
        <f>+O105</f>
        <v>77901336.040000007</v>
      </c>
      <c r="E105" s="3">
        <v>47709434.920000002</v>
      </c>
      <c r="G105" s="3">
        <v>57173482.18</v>
      </c>
      <c r="H105" s="3">
        <v>59421582.090000004</v>
      </c>
      <c r="I105" s="3">
        <v>85486838.879999995</v>
      </c>
      <c r="J105" s="3">
        <v>99482482.140000001</v>
      </c>
      <c r="K105" s="3">
        <v>75087424.489999995</v>
      </c>
      <c r="L105" s="3">
        <f>100258289.16-4102033.34-11611.2-231035</f>
        <v>95913609.61999999</v>
      </c>
      <c r="M105" s="3">
        <v>109558330.34999999</v>
      </c>
      <c r="N105" s="3">
        <v>94722034.870000005</v>
      </c>
      <c r="O105" s="3">
        <v>77901336.040000007</v>
      </c>
      <c r="P105" s="3" t="s">
        <v>235</v>
      </c>
      <c r="Q105" s="3" t="s">
        <v>235</v>
      </c>
      <c r="R105" s="3" t="s">
        <v>235</v>
      </c>
    </row>
    <row r="106" spans="1:18" x14ac:dyDescent="0.25">
      <c r="A106" s="7" t="s">
        <v>73</v>
      </c>
      <c r="C106" s="3">
        <f t="shared" ref="C106" si="20">+O106</f>
        <v>0</v>
      </c>
      <c r="E106" s="3">
        <v>0</v>
      </c>
      <c r="I106" s="3">
        <v>0</v>
      </c>
      <c r="L106" s="3">
        <f>4102033.34+231035</f>
        <v>4333068.34</v>
      </c>
      <c r="O106" s="3">
        <v>0</v>
      </c>
    </row>
    <row r="107" spans="1:18" x14ac:dyDescent="0.25">
      <c r="A107" s="7" t="s">
        <v>74</v>
      </c>
      <c r="C107" s="3">
        <f>+O107</f>
        <v>0</v>
      </c>
      <c r="E107" s="3">
        <v>0</v>
      </c>
      <c r="L107" s="3">
        <v>11611.2</v>
      </c>
    </row>
    <row r="108" spans="1:18" ht="15.75" thickBot="1" x14ac:dyDescent="0.3">
      <c r="A108" s="2" t="s">
        <v>75</v>
      </c>
      <c r="B108" s="6"/>
      <c r="C108" s="9">
        <f>SUM(C105:C107)</f>
        <v>77901336.040000007</v>
      </c>
      <c r="D108" s="6"/>
      <c r="E108" s="9">
        <f>SUM(E105:E107)</f>
        <v>47709434.920000002</v>
      </c>
      <c r="G108" s="9">
        <f>SUM(G105:G107)</f>
        <v>57173482.18</v>
      </c>
      <c r="H108" s="9">
        <f t="shared" ref="H108:R108" si="21">SUM(H105:H107)</f>
        <v>59421582.090000004</v>
      </c>
      <c r="I108" s="9">
        <f t="shared" si="21"/>
        <v>85486838.879999995</v>
      </c>
      <c r="J108" s="9">
        <f t="shared" si="21"/>
        <v>99482482.140000001</v>
      </c>
      <c r="K108" s="9">
        <f t="shared" si="21"/>
        <v>75087424.489999995</v>
      </c>
      <c r="L108" s="9">
        <f t="shared" si="21"/>
        <v>100258289.16</v>
      </c>
      <c r="M108" s="9">
        <f t="shared" si="21"/>
        <v>109558330.34999999</v>
      </c>
      <c r="N108" s="9">
        <f t="shared" si="21"/>
        <v>94722034.870000005</v>
      </c>
      <c r="O108" s="9">
        <f t="shared" si="21"/>
        <v>77901336.040000007</v>
      </c>
      <c r="P108" s="9">
        <f t="shared" si="21"/>
        <v>0</v>
      </c>
      <c r="Q108" s="9">
        <f t="shared" si="21"/>
        <v>0</v>
      </c>
      <c r="R108" s="9">
        <f t="shared" si="21"/>
        <v>0</v>
      </c>
    </row>
    <row r="109" spans="1:18" ht="15.75" hidden="1" thickTop="1" x14ac:dyDescent="0.25">
      <c r="C109" s="3">
        <f>+C108-E108</f>
        <v>30191901.120000005</v>
      </c>
    </row>
    <row r="110" spans="1:18" ht="15.75" hidden="1" thickTop="1" x14ac:dyDescent="0.25">
      <c r="C110" s="57">
        <f>+C109/E108</f>
        <v>0.6328287302213137</v>
      </c>
    </row>
    <row r="111" spans="1:18" ht="15.75" thickTop="1" x14ac:dyDescent="0.25">
      <c r="A111" s="35" t="s">
        <v>76</v>
      </c>
      <c r="B111" s="36"/>
      <c r="C111" s="37"/>
      <c r="D111" s="36"/>
      <c r="E111" s="37"/>
      <c r="F111" s="36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</row>
    <row r="112" spans="1:18" x14ac:dyDescent="0.25">
      <c r="A112" s="2"/>
    </row>
    <row r="113" spans="1:18" x14ac:dyDescent="0.25">
      <c r="A113" s="4" t="s">
        <v>10</v>
      </c>
      <c r="C113" s="5" t="s">
        <v>268</v>
      </c>
      <c r="D113" s="6"/>
      <c r="E113" s="5" t="s">
        <v>269</v>
      </c>
      <c r="G113" s="40" t="s">
        <v>170</v>
      </c>
      <c r="H113" s="40" t="s">
        <v>171</v>
      </c>
      <c r="I113" s="40" t="s">
        <v>172</v>
      </c>
      <c r="J113" s="40" t="s">
        <v>173</v>
      </c>
      <c r="K113" s="40" t="s">
        <v>174</v>
      </c>
      <c r="L113" s="40" t="s">
        <v>175</v>
      </c>
      <c r="M113" s="40" t="s">
        <v>224</v>
      </c>
      <c r="N113" s="40" t="s">
        <v>225</v>
      </c>
      <c r="O113" s="40" t="s">
        <v>249</v>
      </c>
      <c r="P113" s="40" t="s">
        <v>250</v>
      </c>
      <c r="Q113" s="40" t="s">
        <v>251</v>
      </c>
      <c r="R113" s="40" t="s">
        <v>252</v>
      </c>
    </row>
    <row r="114" spans="1:18" x14ac:dyDescent="0.25">
      <c r="A114" s="7" t="s">
        <v>272</v>
      </c>
      <c r="C114" s="3">
        <f>O114</f>
        <v>0</v>
      </c>
      <c r="D114" s="52"/>
      <c r="E114" s="34">
        <v>0</v>
      </c>
      <c r="F114" s="52"/>
      <c r="G114" s="51">
        <v>0</v>
      </c>
      <c r="H114" s="51">
        <v>0</v>
      </c>
      <c r="I114" s="51">
        <v>3500.47</v>
      </c>
      <c r="J114" s="51">
        <v>5871.7</v>
      </c>
      <c r="K114" s="51">
        <v>1612.07</v>
      </c>
      <c r="L114" s="51">
        <v>20412</v>
      </c>
      <c r="M114" s="34">
        <v>0</v>
      </c>
      <c r="N114" s="51">
        <f>107.08+6123.6</f>
        <v>6230.68</v>
      </c>
      <c r="O114" s="34">
        <v>0</v>
      </c>
      <c r="P114" s="34">
        <v>0</v>
      </c>
      <c r="Q114" s="34">
        <v>0</v>
      </c>
      <c r="R114" s="34">
        <v>0</v>
      </c>
    </row>
    <row r="115" spans="1:18" x14ac:dyDescent="0.25">
      <c r="A115" s="7" t="s">
        <v>77</v>
      </c>
      <c r="C115" s="3">
        <f t="shared" ref="C115:C118" si="22">O115</f>
        <v>134272.26</v>
      </c>
      <c r="D115" s="52"/>
      <c r="E115" s="51">
        <v>21827.68</v>
      </c>
      <c r="F115" s="52"/>
      <c r="G115" s="51">
        <v>141448.37</v>
      </c>
      <c r="H115" s="51">
        <v>42556.5</v>
      </c>
      <c r="I115" s="51">
        <v>58901.09</v>
      </c>
      <c r="J115" s="51">
        <v>145054.43</v>
      </c>
      <c r="K115" s="51">
        <v>81926.67</v>
      </c>
      <c r="L115" s="51">
        <v>83186.899999999994</v>
      </c>
      <c r="M115" s="51">
        <v>8672.5</v>
      </c>
      <c r="N115" s="51">
        <f>2754+2460+330.51+21723.13+5000+44266.75+22350+16216.64+18900+28615.95+44576.84</f>
        <v>207193.82</v>
      </c>
      <c r="O115" s="51">
        <f>18486.06+28977.01+7500+46971.5+1400+16575.19+14362.5</f>
        <v>134272.26</v>
      </c>
      <c r="P115" s="51">
        <v>0</v>
      </c>
      <c r="Q115" s="51">
        <v>0</v>
      </c>
      <c r="R115" s="51">
        <v>0</v>
      </c>
    </row>
    <row r="116" spans="1:18" x14ac:dyDescent="0.25">
      <c r="A116" s="7" t="s">
        <v>78</v>
      </c>
      <c r="C116" s="3">
        <f t="shared" si="22"/>
        <v>260007.78999999998</v>
      </c>
      <c r="D116" s="52"/>
      <c r="E116" s="51">
        <v>40480.129999999997</v>
      </c>
      <c r="F116" s="52"/>
      <c r="G116" s="51">
        <v>3466.67</v>
      </c>
      <c r="H116" s="51">
        <v>167387.07999999999</v>
      </c>
      <c r="I116" s="51">
        <v>170176.97</v>
      </c>
      <c r="J116" s="51">
        <v>37484.129999999997</v>
      </c>
      <c r="K116" s="51">
        <v>23840</v>
      </c>
      <c r="L116" s="51">
        <v>50045</v>
      </c>
      <c r="M116" s="51">
        <v>383022.04</v>
      </c>
      <c r="N116" s="51">
        <f>24893.78+1430+3304+8674.05+7194.74+3304+131321.02</f>
        <v>180121.59</v>
      </c>
      <c r="O116" s="51">
        <f>46847+7000+10200+46847+10640+4290+17700+100027.12+16456.67</f>
        <v>260007.78999999998</v>
      </c>
      <c r="P116" s="51">
        <v>0</v>
      </c>
      <c r="Q116" s="51">
        <v>0</v>
      </c>
      <c r="R116" s="51">
        <v>0</v>
      </c>
    </row>
    <row r="117" spans="1:18" x14ac:dyDescent="0.25">
      <c r="A117" s="7" t="s">
        <v>79</v>
      </c>
      <c r="C117" s="3">
        <f t="shared" si="22"/>
        <v>0</v>
      </c>
      <c r="D117" s="52"/>
      <c r="E117" s="51">
        <v>5305.61</v>
      </c>
      <c r="F117" s="52"/>
      <c r="G117" s="51">
        <v>5400</v>
      </c>
      <c r="H117" s="51">
        <v>3240</v>
      </c>
      <c r="I117" s="51">
        <v>51260</v>
      </c>
      <c r="J117" s="51">
        <v>0</v>
      </c>
      <c r="K117" s="51">
        <v>42912</v>
      </c>
      <c r="L117" s="51">
        <v>36000</v>
      </c>
      <c r="M117" s="51">
        <v>0</v>
      </c>
      <c r="N117" s="51">
        <f>5040+5040</f>
        <v>10080</v>
      </c>
      <c r="O117" s="51">
        <v>0</v>
      </c>
      <c r="P117" s="51">
        <v>0</v>
      </c>
      <c r="Q117" s="51">
        <v>0</v>
      </c>
      <c r="R117" s="51">
        <v>0</v>
      </c>
    </row>
    <row r="118" spans="1:18" x14ac:dyDescent="0.25">
      <c r="A118" s="7" t="s">
        <v>80</v>
      </c>
      <c r="C118" s="3">
        <f t="shared" si="22"/>
        <v>0</v>
      </c>
      <c r="D118" s="52"/>
      <c r="E118" s="34">
        <v>1304.6500000000001</v>
      </c>
      <c r="F118" s="52"/>
      <c r="G118" s="51">
        <v>0</v>
      </c>
      <c r="H118" s="51">
        <v>0</v>
      </c>
      <c r="I118" s="51">
        <v>0</v>
      </c>
      <c r="J118" s="51">
        <v>0</v>
      </c>
      <c r="K118" s="34">
        <v>0</v>
      </c>
      <c r="L118" s="51">
        <v>0</v>
      </c>
      <c r="M118" s="34">
        <v>0</v>
      </c>
      <c r="N118" s="51">
        <v>0</v>
      </c>
      <c r="O118" s="34">
        <v>0</v>
      </c>
      <c r="P118" s="34">
        <v>0</v>
      </c>
      <c r="Q118" s="34">
        <v>0</v>
      </c>
      <c r="R118" s="34">
        <v>0</v>
      </c>
    </row>
    <row r="119" spans="1:18" ht="30.75" thickBot="1" x14ac:dyDescent="0.3">
      <c r="A119" s="2" t="s">
        <v>81</v>
      </c>
      <c r="B119" s="6"/>
      <c r="C119" s="9">
        <f>SUM(C114:C118)</f>
        <v>394280.05</v>
      </c>
      <c r="D119" s="6"/>
      <c r="E119" s="9">
        <f>SUM(E114:E118)</f>
        <v>68918.069999999992</v>
      </c>
      <c r="G119" s="9">
        <f>SUM(G114:G118)</f>
        <v>150315.04</v>
      </c>
      <c r="H119" s="9">
        <f t="shared" ref="H119:R119" si="23">SUM(H114:H118)</f>
        <v>213183.58</v>
      </c>
      <c r="I119" s="9">
        <f t="shared" si="23"/>
        <v>283838.53000000003</v>
      </c>
      <c r="J119" s="9">
        <f t="shared" si="23"/>
        <v>188410.26</v>
      </c>
      <c r="K119" s="9">
        <f t="shared" si="23"/>
        <v>150290.74</v>
      </c>
      <c r="L119" s="9">
        <f t="shared" si="23"/>
        <v>189643.9</v>
      </c>
      <c r="M119" s="9">
        <f t="shared" si="23"/>
        <v>391694.54</v>
      </c>
      <c r="N119" s="9">
        <f t="shared" si="23"/>
        <v>403626.08999999997</v>
      </c>
      <c r="O119" s="9">
        <f t="shared" si="23"/>
        <v>394280.05</v>
      </c>
      <c r="P119" s="9">
        <f t="shared" si="23"/>
        <v>0</v>
      </c>
      <c r="Q119" s="9">
        <f t="shared" si="23"/>
        <v>0</v>
      </c>
      <c r="R119" s="9">
        <f t="shared" si="23"/>
        <v>0</v>
      </c>
    </row>
    <row r="120" spans="1:18" ht="15.75" hidden="1" thickTop="1" x14ac:dyDescent="0.25">
      <c r="C120" s="3">
        <f>+C119-E119</f>
        <v>325361.98</v>
      </c>
    </row>
    <row r="121" spans="1:18" ht="15.75" hidden="1" thickTop="1" x14ac:dyDescent="0.25">
      <c r="C121" s="57">
        <f>+C120/E119</f>
        <v>4.7209966849042644</v>
      </c>
    </row>
    <row r="122" spans="1:18" ht="15.75" thickTop="1" x14ac:dyDescent="0.25">
      <c r="A122" s="35" t="s">
        <v>82</v>
      </c>
      <c r="B122" s="36"/>
      <c r="C122" s="37"/>
      <c r="D122" s="36"/>
      <c r="E122" s="37"/>
      <c r="F122" s="36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</row>
    <row r="123" spans="1:18" x14ac:dyDescent="0.25">
      <c r="A123" s="2"/>
    </row>
    <row r="124" spans="1:18" x14ac:dyDescent="0.25">
      <c r="A124" s="4" t="s">
        <v>10</v>
      </c>
      <c r="C124" s="5" t="s">
        <v>268</v>
      </c>
      <c r="D124" s="6"/>
      <c r="E124" s="5" t="s">
        <v>269</v>
      </c>
      <c r="G124" s="40" t="s">
        <v>170</v>
      </c>
      <c r="H124" s="40" t="s">
        <v>171</v>
      </c>
      <c r="I124" s="40" t="s">
        <v>172</v>
      </c>
      <c r="J124" s="40" t="s">
        <v>173</v>
      </c>
      <c r="K124" s="40" t="s">
        <v>174</v>
      </c>
      <c r="L124" s="40" t="s">
        <v>175</v>
      </c>
      <c r="M124" s="40" t="s">
        <v>224</v>
      </c>
      <c r="N124" s="40" t="s">
        <v>225</v>
      </c>
      <c r="O124" s="40" t="s">
        <v>249</v>
      </c>
      <c r="P124" s="40" t="s">
        <v>250</v>
      </c>
      <c r="Q124" s="40" t="s">
        <v>251</v>
      </c>
      <c r="R124" s="40" t="s">
        <v>252</v>
      </c>
    </row>
    <row r="125" spans="1:18" x14ac:dyDescent="0.25">
      <c r="A125" s="7" t="s">
        <v>83</v>
      </c>
      <c r="C125" s="3">
        <f>+K125</f>
        <v>534638142.77999997</v>
      </c>
      <c r="E125" s="3">
        <v>534638142.77999997</v>
      </c>
      <c r="G125" s="3">
        <v>534638142.77999997</v>
      </c>
      <c r="H125" s="3">
        <v>534638142.77999997</v>
      </c>
      <c r="I125" s="3">
        <v>534638142.77999997</v>
      </c>
      <c r="J125" s="3">
        <v>534638142.77999997</v>
      </c>
      <c r="K125" s="3">
        <v>534638142.77999997</v>
      </c>
      <c r="L125" s="3">
        <v>534638142.77999997</v>
      </c>
      <c r="M125" s="3">
        <v>534638142.77999997</v>
      </c>
      <c r="N125" s="3">
        <v>534638142.77999997</v>
      </c>
      <c r="O125" s="3">
        <v>534638142.77999997</v>
      </c>
      <c r="P125" s="3">
        <v>534638142.77999997</v>
      </c>
      <c r="Q125" s="3">
        <v>534638142.77999997</v>
      </c>
      <c r="R125" s="3">
        <v>534638142.77999997</v>
      </c>
    </row>
    <row r="126" spans="1:18" x14ac:dyDescent="0.25">
      <c r="A126" s="7" t="s">
        <v>84</v>
      </c>
      <c r="C126" s="3">
        <f t="shared" ref="C126" si="24">+K126</f>
        <v>0</v>
      </c>
      <c r="E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69">
        <v>-2077410.05</v>
      </c>
      <c r="N126" s="3">
        <v>0</v>
      </c>
      <c r="O126" s="224">
        <v>61404674.619999997</v>
      </c>
      <c r="P126" s="3">
        <v>0</v>
      </c>
      <c r="Q126" s="3">
        <v>0</v>
      </c>
      <c r="R126" s="3">
        <v>0</v>
      </c>
    </row>
    <row r="127" spans="1:18" x14ac:dyDescent="0.25">
      <c r="A127" s="7" t="s">
        <v>85</v>
      </c>
      <c r="C127" s="3">
        <v>100572092.90000001</v>
      </c>
      <c r="E127" s="3">
        <v>216368429.55000001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69">
        <v>61404674.619999997</v>
      </c>
      <c r="N127" s="3">
        <v>0</v>
      </c>
      <c r="O127" s="69">
        <v>-32708314.5</v>
      </c>
      <c r="P127" s="3">
        <v>0</v>
      </c>
      <c r="Q127" s="3">
        <v>0</v>
      </c>
      <c r="R127" s="3">
        <v>0</v>
      </c>
    </row>
    <row r="128" spans="1:18" x14ac:dyDescent="0.25">
      <c r="A128" s="7" t="s">
        <v>86</v>
      </c>
      <c r="C128" s="152">
        <v>-49357203.560000002</v>
      </c>
      <c r="E128" s="3">
        <v>55770725.859999999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224">
        <v>-85058666.329999998</v>
      </c>
      <c r="N128" s="3">
        <v>0</v>
      </c>
      <c r="O128" s="69">
        <v>-19947991.079999998</v>
      </c>
      <c r="P128" s="3">
        <v>0</v>
      </c>
      <c r="Q128" s="3">
        <v>0</v>
      </c>
      <c r="R128" s="3">
        <v>0</v>
      </c>
    </row>
    <row r="129" spans="1:36" s="6" customFormat="1" ht="15.75" thickBot="1" x14ac:dyDescent="0.3">
      <c r="A129" s="2" t="s">
        <v>87</v>
      </c>
      <c r="C129" s="9">
        <f>SUM(C125:C128)</f>
        <v>585853032.11999989</v>
      </c>
      <c r="E129" s="9">
        <f>SUM(E125:E128)</f>
        <v>806777298.18999994</v>
      </c>
      <c r="G129" s="9">
        <f>SUM(G125:G128)</f>
        <v>534638142.77999997</v>
      </c>
      <c r="H129" s="9">
        <f t="shared" ref="H129:R129" si="25">SUM(H125:H128)</f>
        <v>534638142.77999997</v>
      </c>
      <c r="I129" s="9">
        <f t="shared" si="25"/>
        <v>534638142.77999997</v>
      </c>
      <c r="J129" s="9">
        <f t="shared" si="25"/>
        <v>534638142.77999997</v>
      </c>
      <c r="K129" s="9">
        <f t="shared" si="25"/>
        <v>534638142.77999997</v>
      </c>
      <c r="L129" s="9">
        <f t="shared" si="25"/>
        <v>534638142.77999997</v>
      </c>
      <c r="M129" s="9">
        <f t="shared" si="25"/>
        <v>508906741.01999992</v>
      </c>
      <c r="N129" s="9">
        <f t="shared" si="25"/>
        <v>534638142.77999997</v>
      </c>
      <c r="O129" s="9">
        <f t="shared" si="25"/>
        <v>543386511.81999993</v>
      </c>
      <c r="P129" s="9">
        <f t="shared" si="25"/>
        <v>534638142.77999997</v>
      </c>
      <c r="Q129" s="9">
        <f t="shared" si="25"/>
        <v>534638142.77999997</v>
      </c>
      <c r="R129" s="9">
        <f t="shared" si="25"/>
        <v>534638142.77999997</v>
      </c>
      <c r="S129" s="5"/>
      <c r="T129" s="56"/>
      <c r="U129" s="56"/>
      <c r="V129" s="56"/>
      <c r="W129" s="56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</row>
    <row r="130" spans="1:36" ht="15.75" hidden="1" thickTop="1" x14ac:dyDescent="0.25">
      <c r="C130" s="3">
        <f>+C129-E129</f>
        <v>-220924266.07000005</v>
      </c>
    </row>
    <row r="131" spans="1:36" ht="15.75" hidden="1" thickTop="1" x14ac:dyDescent="0.25">
      <c r="C131" s="57">
        <f>+C130/E129</f>
        <v>-0.27383550152643404</v>
      </c>
    </row>
    <row r="132" spans="1:36" ht="15.75" thickTop="1" x14ac:dyDescent="0.25">
      <c r="A132" s="35" t="s">
        <v>88</v>
      </c>
      <c r="B132" s="36"/>
      <c r="C132" s="37"/>
      <c r="D132" s="36"/>
      <c r="E132" s="37"/>
      <c r="F132" s="36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</row>
    <row r="134" spans="1:36" x14ac:dyDescent="0.25">
      <c r="A134" s="4" t="s">
        <v>10</v>
      </c>
      <c r="C134" s="5" t="s">
        <v>268</v>
      </c>
      <c r="D134" s="6"/>
      <c r="E134" s="5" t="s">
        <v>269</v>
      </c>
      <c r="G134" s="40" t="s">
        <v>170</v>
      </c>
      <c r="H134" s="40" t="s">
        <v>171</v>
      </c>
      <c r="I134" s="40" t="s">
        <v>172</v>
      </c>
      <c r="J134" s="40" t="s">
        <v>173</v>
      </c>
      <c r="K134" s="40" t="s">
        <v>174</v>
      </c>
      <c r="L134" s="40" t="s">
        <v>175</v>
      </c>
      <c r="M134" s="40" t="s">
        <v>224</v>
      </c>
      <c r="N134" s="40" t="s">
        <v>225</v>
      </c>
      <c r="O134" s="40" t="s">
        <v>249</v>
      </c>
      <c r="P134" s="40" t="s">
        <v>250</v>
      </c>
      <c r="Q134" s="40" t="s">
        <v>251</v>
      </c>
      <c r="R134" s="40" t="s">
        <v>252</v>
      </c>
    </row>
    <row r="135" spans="1:36" x14ac:dyDescent="0.25">
      <c r="A135" s="7" t="s">
        <v>89</v>
      </c>
      <c r="C135" s="3">
        <f>O135</f>
        <v>43414859.649999999</v>
      </c>
      <c r="E135" s="3">
        <v>7034408.5699999994</v>
      </c>
      <c r="F135" s="8"/>
      <c r="G135" s="3">
        <f>392854.7+649000+8553757.7+5439688.36</f>
        <v>15035300.759999998</v>
      </c>
      <c r="H135" s="3">
        <f>3205716.84+8272982.18+10828.37+137998.17+586150</f>
        <v>12213675.559999999</v>
      </c>
      <c r="I135" s="3">
        <v>13291099.15</v>
      </c>
      <c r="J135" s="3">
        <f>23224455.57+3332532.54</f>
        <v>26556988.109999999</v>
      </c>
      <c r="K135" s="3">
        <f>11633555.75+9839411.37</f>
        <v>21472967.119999997</v>
      </c>
      <c r="L135" s="3">
        <v>61625880.509999998</v>
      </c>
      <c r="M135" s="3">
        <f>11853276.03+3520408.67+121763.48</f>
        <v>15495448.18</v>
      </c>
      <c r="N135" s="3">
        <f>37507313.8+7601043.66+3366166.52</f>
        <v>48474523.979999997</v>
      </c>
      <c r="O135" s="3">
        <f>29968363.49+12455809.89+990686.27</f>
        <v>43414859.649999999</v>
      </c>
      <c r="P135" s="3">
        <v>0</v>
      </c>
      <c r="Q135" s="3">
        <v>0</v>
      </c>
      <c r="R135" s="3">
        <v>0</v>
      </c>
    </row>
    <row r="136" spans="1:36" x14ac:dyDescent="0.25">
      <c r="A136" s="7" t="s">
        <v>90</v>
      </c>
      <c r="C136" s="3">
        <f>O136</f>
        <v>7414093.7000000002</v>
      </c>
      <c r="E136" s="3">
        <v>6247154.2800000003</v>
      </c>
      <c r="F136" s="8"/>
      <c r="G136" s="3">
        <f>109686.69+237799.72+2500+192574.43+932270.45+115849.77+248453.08+2553383.35+150306.28+1150509.32+2000+1227064.86+979250.42+513609.77+114304.04+420721.04</f>
        <v>8950283.2199999988</v>
      </c>
      <c r="H136" s="3">
        <f>86799.44+26740.32+788890.11+1755216.6+379013.68+2539953.35+87157.54+1177242.46+1324601.8+4780.3</f>
        <v>8170395.5999999996</v>
      </c>
      <c r="I136" s="3">
        <v>8461048.4900000002</v>
      </c>
      <c r="J136" s="3">
        <v>8012432.4100000001</v>
      </c>
      <c r="K136" s="3">
        <f>10481.4+10755.81+253082.3+56072.13+9270288.45+30918115.54+1711090.65+705964.37+12431+100065.08+179227.86+9745+364729.94+121100.05+1384108.88+53026.25</f>
        <v>45160284.709999986</v>
      </c>
      <c r="L136" s="3">
        <v>4462143.1809999999</v>
      </c>
      <c r="M136" s="3">
        <f>155651.74+8248.2+925395.72+3021169.06+11068.69+55538.31+2670152.15+37181.78+136925.17+1039111.44+18340+1500+1222805.69+96080.73+132347.16</f>
        <v>9531515.8399999999</v>
      </c>
      <c r="N136" s="3">
        <f>147342.71+310728.16+62368.19+142533.26+3155586.96+1219457.57+18200.52+1405914.36+359789.67+276355.31+1543847.34</f>
        <v>8642124.0500000007</v>
      </c>
      <c r="O136" s="3">
        <f>8056+409469.33+18535.63+2089422.27+914810.99+1057299.43+1663877.19+732567.29+21972.14+1400+1371.78+23514.4+241494.12+230303.13</f>
        <v>7414093.7000000002</v>
      </c>
      <c r="P136" s="3">
        <v>0</v>
      </c>
      <c r="Q136" s="3">
        <v>0</v>
      </c>
      <c r="R136" s="3">
        <v>0</v>
      </c>
    </row>
    <row r="137" spans="1:36" x14ac:dyDescent="0.25">
      <c r="A137" s="7" t="s">
        <v>91</v>
      </c>
      <c r="C137" s="3">
        <f t="shared" ref="C137:C140" si="26">O137</f>
        <v>5678095.0800000001</v>
      </c>
      <c r="E137" s="3">
        <v>2402755.9500000002</v>
      </c>
      <c r="F137" s="8"/>
      <c r="G137" s="3">
        <v>844177.42</v>
      </c>
      <c r="H137" s="3">
        <v>1785277.98</v>
      </c>
      <c r="I137" s="3">
        <v>1511914.07</v>
      </c>
      <c r="J137" s="3">
        <v>0</v>
      </c>
      <c r="K137" s="3">
        <v>182000</v>
      </c>
      <c r="L137" s="3">
        <v>119715.86</v>
      </c>
      <c r="M137" s="3">
        <v>0</v>
      </c>
      <c r="N137" s="3">
        <v>0</v>
      </c>
      <c r="O137" s="3">
        <v>5678095.0800000001</v>
      </c>
      <c r="P137" s="3">
        <v>0</v>
      </c>
      <c r="Q137" s="3">
        <v>0</v>
      </c>
      <c r="R137" s="3">
        <v>0</v>
      </c>
    </row>
    <row r="138" spans="1:36" x14ac:dyDescent="0.25">
      <c r="A138" s="7" t="s">
        <v>92</v>
      </c>
      <c r="C138" s="3">
        <f t="shared" si="26"/>
        <v>0</v>
      </c>
      <c r="E138" s="34"/>
      <c r="F138" s="8"/>
      <c r="G138" s="3">
        <v>2343720.7400000002</v>
      </c>
      <c r="H138" s="3">
        <v>3996868.69</v>
      </c>
      <c r="I138" s="3">
        <v>10015.93</v>
      </c>
      <c r="J138" s="3">
        <v>3823514.35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</row>
    <row r="139" spans="1:36" x14ac:dyDescent="0.25">
      <c r="A139" s="7" t="s">
        <v>379</v>
      </c>
      <c r="C139" s="3">
        <f t="shared" si="26"/>
        <v>45000</v>
      </c>
      <c r="F139" s="8"/>
      <c r="G139" s="3">
        <v>0</v>
      </c>
      <c r="H139" s="3">
        <v>0</v>
      </c>
      <c r="I139" s="3">
        <v>0</v>
      </c>
      <c r="J139" s="3">
        <v>90000</v>
      </c>
      <c r="K139" s="3">
        <v>90000</v>
      </c>
      <c r="L139" s="3">
        <v>45000</v>
      </c>
      <c r="M139" s="3">
        <v>45000</v>
      </c>
      <c r="N139" s="3">
        <v>45000</v>
      </c>
      <c r="O139" s="3">
        <v>45000</v>
      </c>
      <c r="P139" s="3">
        <v>0</v>
      </c>
      <c r="Q139" s="3">
        <v>0</v>
      </c>
      <c r="R139" s="3">
        <v>0</v>
      </c>
    </row>
    <row r="140" spans="1:36" x14ac:dyDescent="0.25">
      <c r="A140" s="7" t="s">
        <v>94</v>
      </c>
      <c r="C140" s="3">
        <f t="shared" si="26"/>
        <v>15000</v>
      </c>
      <c r="F140" s="8"/>
      <c r="G140" s="3">
        <f>119849.77+38772.72</f>
        <v>158622.49</v>
      </c>
      <c r="H140" s="3">
        <f>455443.14+12000</f>
        <v>467443.14</v>
      </c>
      <c r="I140" s="3">
        <v>71949.8</v>
      </c>
      <c r="J140" s="3">
        <v>0</v>
      </c>
      <c r="K140" s="3">
        <v>942730.89</v>
      </c>
      <c r="L140" s="3">
        <f>172826+119715.86+305167.42</f>
        <v>597709.28</v>
      </c>
      <c r="M140" s="3">
        <v>861002.44</v>
      </c>
      <c r="N140" s="3">
        <v>10000</v>
      </c>
      <c r="O140" s="3">
        <v>15000</v>
      </c>
      <c r="P140" s="3">
        <v>0</v>
      </c>
      <c r="Q140" s="3">
        <v>0</v>
      </c>
      <c r="R140" s="3">
        <v>0</v>
      </c>
    </row>
    <row r="141" spans="1:36" s="6" customFormat="1" ht="15.75" thickBot="1" x14ac:dyDescent="0.3">
      <c r="A141" s="2" t="s">
        <v>95</v>
      </c>
      <c r="C141" s="9">
        <f>SUM(C135:C140)</f>
        <v>56567048.43</v>
      </c>
      <c r="E141" s="9">
        <f>SUM(E135:E140)</f>
        <v>15684318.800000001</v>
      </c>
      <c r="F141" s="10"/>
      <c r="G141" s="9">
        <f>SUM(G135:G140)</f>
        <v>27332104.629999999</v>
      </c>
      <c r="H141" s="9">
        <f t="shared" ref="H141:R141" si="27">SUM(H135:H140)</f>
        <v>26633660.969999999</v>
      </c>
      <c r="I141" s="9">
        <f t="shared" si="27"/>
        <v>23346027.440000001</v>
      </c>
      <c r="J141" s="9">
        <f t="shared" si="27"/>
        <v>38482934.869999997</v>
      </c>
      <c r="K141" s="9">
        <f t="shared" si="27"/>
        <v>67847982.719999984</v>
      </c>
      <c r="L141" s="9">
        <f t="shared" si="27"/>
        <v>66850448.831</v>
      </c>
      <c r="M141" s="9">
        <f t="shared" si="27"/>
        <v>25932966.460000001</v>
      </c>
      <c r="N141" s="9">
        <f>SUM(N135:N140)</f>
        <v>57171648.030000001</v>
      </c>
      <c r="O141" s="9">
        <f t="shared" si="27"/>
        <v>56567048.43</v>
      </c>
      <c r="P141" s="9">
        <f t="shared" si="27"/>
        <v>0</v>
      </c>
      <c r="Q141" s="9">
        <f t="shared" si="27"/>
        <v>0</v>
      </c>
      <c r="R141" s="9">
        <f t="shared" si="27"/>
        <v>0</v>
      </c>
      <c r="S141" s="5"/>
      <c r="T141" s="56"/>
      <c r="U141" s="56"/>
      <c r="V141" s="56"/>
      <c r="W141" s="56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</row>
    <row r="142" spans="1:36" ht="15.75" hidden="1" thickTop="1" x14ac:dyDescent="0.25">
      <c r="C142" s="3">
        <f>+C141-E141</f>
        <v>40882729.629999995</v>
      </c>
      <c r="F142" s="8"/>
    </row>
    <row r="143" spans="1:36" ht="15.75" hidden="1" thickTop="1" x14ac:dyDescent="0.25">
      <c r="C143" s="57">
        <f>+C142/E141</f>
        <v>2.6065989955521687</v>
      </c>
      <c r="F143" s="8"/>
    </row>
    <row r="144" spans="1:36" ht="15.75" thickTop="1" x14ac:dyDescent="0.25">
      <c r="A144" s="35" t="s">
        <v>96</v>
      </c>
      <c r="B144" s="36"/>
      <c r="C144" s="37"/>
      <c r="D144" s="36"/>
      <c r="E144" s="37"/>
      <c r="F144" s="151"/>
      <c r="G144" s="37" t="s">
        <v>235</v>
      </c>
      <c r="H144" s="37"/>
      <c r="I144" s="37"/>
      <c r="J144" s="37"/>
      <c r="K144" s="37" t="s">
        <v>235</v>
      </c>
      <c r="L144" s="37"/>
      <c r="M144" s="37"/>
      <c r="N144" s="37"/>
      <c r="O144" s="37"/>
      <c r="P144" s="37"/>
      <c r="Q144" s="37"/>
      <c r="R144" s="37"/>
    </row>
    <row r="145" spans="1:36" x14ac:dyDescent="0.25">
      <c r="A145" s="2"/>
      <c r="F145" s="8"/>
      <c r="G145" s="3">
        <v>-59160.06</v>
      </c>
      <c r="K145" s="3" t="s">
        <v>235</v>
      </c>
      <c r="O145" s="57"/>
    </row>
    <row r="146" spans="1:36" x14ac:dyDescent="0.25">
      <c r="A146" s="4" t="s">
        <v>10</v>
      </c>
      <c r="C146" s="5" t="s">
        <v>268</v>
      </c>
      <c r="D146" s="6"/>
      <c r="E146" s="5" t="s">
        <v>269</v>
      </c>
      <c r="F146" s="8"/>
      <c r="G146" s="40" t="s">
        <v>170</v>
      </c>
      <c r="H146" s="40" t="s">
        <v>171</v>
      </c>
      <c r="I146" s="40" t="s">
        <v>172</v>
      </c>
      <c r="J146" s="40" t="s">
        <v>173</v>
      </c>
      <c r="K146" s="40" t="s">
        <v>174</v>
      </c>
      <c r="L146" s="40" t="s">
        <v>175</v>
      </c>
      <c r="M146" s="40" t="s">
        <v>224</v>
      </c>
      <c r="N146" s="40" t="s">
        <v>225</v>
      </c>
      <c r="O146" s="40" t="s">
        <v>249</v>
      </c>
      <c r="P146" s="40" t="s">
        <v>250</v>
      </c>
      <c r="Q146" s="40" t="s">
        <v>251</v>
      </c>
      <c r="R146" s="40" t="s">
        <v>252</v>
      </c>
    </row>
    <row r="147" spans="1:36" x14ac:dyDescent="0.25">
      <c r="A147" s="7" t="s">
        <v>97</v>
      </c>
      <c r="C147" s="3">
        <f>O147</f>
        <v>21319779.120000001</v>
      </c>
      <c r="E147" s="3">
        <f>'[1]NOTAS (2)'!$O$141</f>
        <v>17235106.379999999</v>
      </c>
      <c r="F147" s="8"/>
      <c r="G147" s="3">
        <v>17286711.41</v>
      </c>
      <c r="H147" s="3">
        <v>17035820.359999999</v>
      </c>
      <c r="I147" s="3">
        <v>16996142.050000001</v>
      </c>
      <c r="J147" s="3">
        <v>16847402.27</v>
      </c>
      <c r="K147" s="3">
        <v>17617230.25</v>
      </c>
      <c r="L147" s="3">
        <v>17286711.41</v>
      </c>
      <c r="M147" s="3">
        <v>8482918.6300000008</v>
      </c>
      <c r="N147" s="3">
        <f>17286711.41+21319779.12+200000</f>
        <v>38806490.530000001</v>
      </c>
      <c r="O147" s="3">
        <v>21319779.120000001</v>
      </c>
      <c r="P147" s="3">
        <v>0</v>
      </c>
      <c r="Q147" s="3">
        <v>0</v>
      </c>
      <c r="R147" s="3">
        <v>0</v>
      </c>
    </row>
    <row r="148" spans="1:36" s="6" customFormat="1" ht="15.75" thickBot="1" x14ac:dyDescent="0.3">
      <c r="A148" s="2" t="s">
        <v>98</v>
      </c>
      <c r="C148" s="9">
        <f>SUM(C147)</f>
        <v>21319779.120000001</v>
      </c>
      <c r="E148" s="9">
        <f>SUM(E147)</f>
        <v>17235106.379999999</v>
      </c>
      <c r="F148" s="10"/>
      <c r="G148" s="9">
        <f>SUM(G147)</f>
        <v>17286711.41</v>
      </c>
      <c r="H148" s="9">
        <f t="shared" ref="H148:K148" si="28">SUM(H147)</f>
        <v>17035820.359999999</v>
      </c>
      <c r="I148" s="9">
        <f t="shared" si="28"/>
        <v>16996142.050000001</v>
      </c>
      <c r="J148" s="9">
        <f t="shared" si="28"/>
        <v>16847402.27</v>
      </c>
      <c r="K148" s="9">
        <f t="shared" si="28"/>
        <v>17617230.25</v>
      </c>
      <c r="L148" s="9">
        <f>SUM(L147)</f>
        <v>17286711.41</v>
      </c>
      <c r="M148" s="9">
        <f>SUM(M147)</f>
        <v>8482918.6300000008</v>
      </c>
      <c r="N148" s="9">
        <f>SUM(N147)</f>
        <v>38806490.530000001</v>
      </c>
      <c r="O148" s="9">
        <f t="shared" ref="O148:R148" si="29">SUM(O147)</f>
        <v>21319779.120000001</v>
      </c>
      <c r="P148" s="9">
        <f t="shared" si="29"/>
        <v>0</v>
      </c>
      <c r="Q148" s="9">
        <f t="shared" si="29"/>
        <v>0</v>
      </c>
      <c r="R148" s="9">
        <f t="shared" si="29"/>
        <v>0</v>
      </c>
      <c r="S148" s="5"/>
      <c r="T148" s="56"/>
      <c r="U148" s="56"/>
      <c r="V148" s="56"/>
      <c r="W148" s="56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spans="1:36" ht="15.75" hidden="1" thickTop="1" x14ac:dyDescent="0.25">
      <c r="C149" s="3">
        <f>+C148-E148</f>
        <v>4084672.7400000021</v>
      </c>
      <c r="F149" s="8"/>
    </row>
    <row r="150" spans="1:36" ht="15.75" hidden="1" thickTop="1" x14ac:dyDescent="0.25">
      <c r="C150" s="57">
        <f>+C149/E148</f>
        <v>0.23699724561839358</v>
      </c>
      <c r="F150" s="8"/>
    </row>
    <row r="151" spans="1:36" ht="15.75" thickTop="1" x14ac:dyDescent="0.25">
      <c r="A151" s="35" t="s">
        <v>99</v>
      </c>
      <c r="B151" s="36"/>
      <c r="C151" s="37"/>
      <c r="D151" s="36"/>
      <c r="E151" s="37"/>
      <c r="F151" s="151"/>
      <c r="G151" s="37"/>
      <c r="H151" s="37"/>
      <c r="I151" s="37"/>
      <c r="J151" s="37"/>
      <c r="K151" s="37" t="s">
        <v>235</v>
      </c>
      <c r="L151" s="37"/>
      <c r="M151" s="37"/>
      <c r="N151" s="37"/>
      <c r="O151" s="37"/>
      <c r="P151" s="37"/>
      <c r="Q151" s="37"/>
      <c r="R151" s="37"/>
    </row>
    <row r="152" spans="1:36" x14ac:dyDescent="0.25">
      <c r="A152" s="2"/>
      <c r="C152" s="2"/>
      <c r="F152" s="8"/>
    </row>
    <row r="153" spans="1:36" x14ac:dyDescent="0.25">
      <c r="A153" s="4" t="s">
        <v>10</v>
      </c>
      <c r="C153" s="5" t="s">
        <v>268</v>
      </c>
      <c r="D153" s="6"/>
      <c r="E153" s="5" t="s">
        <v>269</v>
      </c>
      <c r="F153" s="8"/>
      <c r="G153" s="40" t="s">
        <v>170</v>
      </c>
      <c r="H153" s="40" t="s">
        <v>171</v>
      </c>
      <c r="I153" s="40">
        <v>321</v>
      </c>
      <c r="J153" s="40" t="s">
        <v>173</v>
      </c>
      <c r="K153" s="40" t="s">
        <v>174</v>
      </c>
      <c r="L153" s="40" t="s">
        <v>175</v>
      </c>
      <c r="M153" s="40" t="s">
        <v>224</v>
      </c>
      <c r="N153" s="40" t="s">
        <v>225</v>
      </c>
      <c r="O153" s="40" t="s">
        <v>249</v>
      </c>
      <c r="P153" s="40" t="s">
        <v>250</v>
      </c>
      <c r="Q153" s="40" t="s">
        <v>251</v>
      </c>
      <c r="R153" s="40" t="s">
        <v>252</v>
      </c>
    </row>
    <row r="154" spans="1:36" ht="30" x14ac:dyDescent="0.25">
      <c r="A154" s="7" t="s">
        <v>100</v>
      </c>
      <c r="C154" s="3">
        <f>+C168</f>
        <v>26803153.419999998</v>
      </c>
      <c r="E154" s="3">
        <v>16320314.529999999</v>
      </c>
      <c r="F154" s="8"/>
      <c r="G154" s="3">
        <f>+G168</f>
        <v>16269097.32</v>
      </c>
      <c r="H154" s="3">
        <f>+H168</f>
        <v>17736697.600000001</v>
      </c>
      <c r="I154" s="3">
        <f>+I168</f>
        <v>18479877.57</v>
      </c>
      <c r="J154" s="3">
        <f>+J168</f>
        <v>16572430.539999999</v>
      </c>
      <c r="K154" s="3">
        <f t="shared" ref="K154:M154" si="30">+K168</f>
        <v>17253551.760000002</v>
      </c>
      <c r="L154" s="3">
        <f t="shared" si="30"/>
        <v>1105140.0499999998</v>
      </c>
      <c r="M154" s="3">
        <f t="shared" si="30"/>
        <v>41148860.050000004</v>
      </c>
      <c r="N154" s="3">
        <f t="shared" ref="N154" si="31">+N168</f>
        <v>24259718.030000001</v>
      </c>
      <c r="O154" s="3">
        <f>+O168</f>
        <v>26803153.419999998</v>
      </c>
      <c r="P154" s="3">
        <f>+P168</f>
        <v>0</v>
      </c>
      <c r="Q154" s="3">
        <f>+Q168</f>
        <v>0</v>
      </c>
      <c r="R154" s="3">
        <f>+R168</f>
        <v>0</v>
      </c>
      <c r="S154" s="54" t="s">
        <v>258</v>
      </c>
      <c r="T154" s="55" t="s">
        <v>259</v>
      </c>
      <c r="U154" s="55" t="s">
        <v>259</v>
      </c>
      <c r="V154" s="55" t="s">
        <v>258</v>
      </c>
      <c r="W154" s="55" t="s">
        <v>271</v>
      </c>
    </row>
    <row r="155" spans="1:36" x14ac:dyDescent="0.25">
      <c r="A155" s="7" t="s">
        <v>101</v>
      </c>
      <c r="C155" s="3">
        <f>GM155</f>
        <v>0</v>
      </c>
      <c r="E155" s="3">
        <f>'[2]NOTAS (2)'!N149</f>
        <v>0</v>
      </c>
      <c r="F155" s="8"/>
      <c r="G155" s="3">
        <v>8151.53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54">
        <v>2</v>
      </c>
      <c r="T155" s="55">
        <v>1</v>
      </c>
      <c r="U155" s="55">
        <v>1</v>
      </c>
      <c r="V155" s="55">
        <v>4</v>
      </c>
      <c r="W155" s="55" t="s">
        <v>179</v>
      </c>
    </row>
    <row r="156" spans="1:36" x14ac:dyDescent="0.25">
      <c r="A156" s="7" t="s">
        <v>102</v>
      </c>
      <c r="C156" s="3">
        <f>+C177</f>
        <v>706565.35</v>
      </c>
      <c r="E156" s="3">
        <v>200383.47</v>
      </c>
      <c r="F156" s="8"/>
      <c r="G156" s="3">
        <f>+G177</f>
        <v>0</v>
      </c>
      <c r="H156" s="3">
        <f t="shared" ref="H156:L156" si="32">+H177</f>
        <v>0</v>
      </c>
      <c r="I156" s="3">
        <f t="shared" si="32"/>
        <v>186345.33</v>
      </c>
      <c r="J156" s="3">
        <f t="shared" si="32"/>
        <v>0</v>
      </c>
      <c r="K156" s="3">
        <f t="shared" si="32"/>
        <v>175999.78</v>
      </c>
      <c r="L156" s="3">
        <f t="shared" si="32"/>
        <v>477762.4</v>
      </c>
      <c r="M156" s="3">
        <f t="shared" ref="M156" si="33">+M177</f>
        <v>832751.12</v>
      </c>
      <c r="N156" s="3">
        <f>+N177</f>
        <v>721892.09000000008</v>
      </c>
      <c r="O156" s="3">
        <f>O177</f>
        <v>706565.35</v>
      </c>
      <c r="P156" s="3">
        <v>0</v>
      </c>
    </row>
    <row r="157" spans="1:36" x14ac:dyDescent="0.25">
      <c r="A157" s="7" t="s">
        <v>103</v>
      </c>
      <c r="C157" s="3">
        <f>+C188</f>
        <v>11221120.66</v>
      </c>
      <c r="E157" s="3">
        <v>2381022.75</v>
      </c>
      <c r="F157" s="8"/>
      <c r="G157" s="3">
        <f t="shared" ref="G157:O157" si="34">+G188</f>
        <v>6087716.5599999996</v>
      </c>
      <c r="H157" s="3">
        <f t="shared" si="34"/>
        <v>440267</v>
      </c>
      <c r="I157" s="3">
        <f t="shared" si="34"/>
        <v>10685927.82</v>
      </c>
      <c r="J157" s="3">
        <f t="shared" si="34"/>
        <v>11169691.959999999</v>
      </c>
      <c r="K157" s="3">
        <f t="shared" si="34"/>
        <v>461267</v>
      </c>
      <c r="L157" s="3">
        <f t="shared" si="34"/>
        <v>7100462.4699999997</v>
      </c>
      <c r="M157" s="3">
        <f t="shared" si="34"/>
        <v>17449237.509999998</v>
      </c>
      <c r="N157" s="3">
        <f t="shared" si="34"/>
        <v>519649</v>
      </c>
      <c r="O157" s="3">
        <f t="shared" si="34"/>
        <v>11221120.66</v>
      </c>
      <c r="P157" s="3">
        <f>P188</f>
        <v>0</v>
      </c>
      <c r="Q157" s="3">
        <f>+Q1878</f>
        <v>0</v>
      </c>
      <c r="R157" s="3">
        <f>+R188</f>
        <v>0</v>
      </c>
    </row>
    <row r="158" spans="1:36" x14ac:dyDescent="0.25">
      <c r="A158" s="7" t="s">
        <v>104</v>
      </c>
      <c r="C158" s="3">
        <f>SUM(G158:L158)</f>
        <v>0</v>
      </c>
      <c r="E158" s="3">
        <f>'[2]NOTAS (2)'!N152</f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S158" s="54">
        <v>2</v>
      </c>
      <c r="T158" s="55">
        <v>1</v>
      </c>
      <c r="U158" s="55">
        <v>4</v>
      </c>
      <c r="V158" s="55">
        <v>2</v>
      </c>
      <c r="W158" s="55" t="s">
        <v>180</v>
      </c>
    </row>
    <row r="159" spans="1:36" ht="30" x14ac:dyDescent="0.25">
      <c r="A159" s="7" t="s">
        <v>105</v>
      </c>
      <c r="C159" s="3">
        <f>+C196</f>
        <v>3809423.85</v>
      </c>
      <c r="D159" s="1" t="s">
        <v>262</v>
      </c>
      <c r="E159" s="3">
        <v>2409321.9500000002</v>
      </c>
      <c r="G159" s="3">
        <f>+G196</f>
        <v>2493491.21</v>
      </c>
      <c r="H159" s="3">
        <f t="shared" ref="H159:M159" si="35">+H196</f>
        <v>2474237.7199999997</v>
      </c>
      <c r="I159" s="3">
        <f t="shared" si="35"/>
        <v>2468881.59</v>
      </c>
      <c r="J159" s="3">
        <f t="shared" si="35"/>
        <v>2335716.83</v>
      </c>
      <c r="K159" s="3">
        <f t="shared" si="35"/>
        <v>2546692.4500000002</v>
      </c>
      <c r="L159" s="3">
        <f t="shared" si="35"/>
        <v>0</v>
      </c>
      <c r="M159" s="3">
        <f t="shared" si="35"/>
        <v>7017544.3599999994</v>
      </c>
      <c r="N159" s="3">
        <f>+N196</f>
        <v>3546548.9200000004</v>
      </c>
      <c r="O159" s="3">
        <f>O196</f>
        <v>3809423.85</v>
      </c>
      <c r="P159" s="3">
        <f>+P196</f>
        <v>0</v>
      </c>
      <c r="Q159" s="3">
        <f>+Q196</f>
        <v>0</v>
      </c>
      <c r="R159" s="3">
        <f>+R196</f>
        <v>0</v>
      </c>
    </row>
    <row r="160" spans="1:36" s="6" customFormat="1" ht="15.75" thickBot="1" x14ac:dyDescent="0.3">
      <c r="A160" s="13" t="s">
        <v>106</v>
      </c>
      <c r="C160" s="9">
        <f>SUM(C154:C159)</f>
        <v>42540263.280000001</v>
      </c>
      <c r="D160" s="6" t="s">
        <v>235</v>
      </c>
      <c r="E160" s="9">
        <f>SUM(E154:E159)</f>
        <v>21311042.699999999</v>
      </c>
      <c r="G160" s="9">
        <f>SUM(G154:G159)</f>
        <v>24858456.620000001</v>
      </c>
      <c r="H160" s="9">
        <f t="shared" ref="H160:R160" si="36">SUM(H154:H159)</f>
        <v>20651202.32</v>
      </c>
      <c r="I160" s="9">
        <f t="shared" si="36"/>
        <v>31821032.309999999</v>
      </c>
      <c r="J160" s="9">
        <f t="shared" si="36"/>
        <v>30077839.329999998</v>
      </c>
      <c r="K160" s="9">
        <f t="shared" si="36"/>
        <v>20437510.990000002</v>
      </c>
      <c r="L160" s="9">
        <f t="shared" si="36"/>
        <v>8683364.9199999999</v>
      </c>
      <c r="M160" s="9">
        <f t="shared" si="36"/>
        <v>66448393.039999999</v>
      </c>
      <c r="N160" s="9">
        <f t="shared" si="36"/>
        <v>29047808.040000003</v>
      </c>
      <c r="O160" s="9">
        <f t="shared" si="36"/>
        <v>42540263.280000001</v>
      </c>
      <c r="P160" s="9">
        <f t="shared" si="36"/>
        <v>0</v>
      </c>
      <c r="Q160" s="9">
        <f t="shared" si="36"/>
        <v>0</v>
      </c>
      <c r="R160" s="9">
        <f t="shared" si="36"/>
        <v>0</v>
      </c>
      <c r="S160" s="5"/>
      <c r="T160" s="56"/>
      <c r="U160" s="56"/>
      <c r="V160" s="56"/>
      <c r="W160" s="56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</row>
    <row r="161" spans="1:36" ht="15.75" hidden="1" thickTop="1" x14ac:dyDescent="0.25">
      <c r="C161" s="3">
        <f>+C160-E160</f>
        <v>21229220.580000002</v>
      </c>
    </row>
    <row r="162" spans="1:36" ht="15.75" hidden="1" thickTop="1" x14ac:dyDescent="0.25">
      <c r="C162" s="57">
        <f>+C161/E160</f>
        <v>0.99616057641327904</v>
      </c>
    </row>
    <row r="163" spans="1:36" ht="15.75" thickTop="1" x14ac:dyDescent="0.25">
      <c r="A163" s="35" t="s">
        <v>107</v>
      </c>
      <c r="B163" s="36"/>
      <c r="C163" s="37"/>
      <c r="D163" s="36"/>
      <c r="E163" s="37"/>
      <c r="F163" s="36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4" spans="1:36" x14ac:dyDescent="0.25">
      <c r="A164" s="2"/>
      <c r="C164" s="3" t="s">
        <v>235</v>
      </c>
      <c r="O164" s="3" t="s">
        <v>235</v>
      </c>
      <c r="P164" s="3" t="s">
        <v>235</v>
      </c>
    </row>
    <row r="165" spans="1:36" x14ac:dyDescent="0.25">
      <c r="A165" s="4" t="s">
        <v>10</v>
      </c>
      <c r="C165" s="5" t="s">
        <v>268</v>
      </c>
      <c r="D165" s="6"/>
      <c r="E165" s="5" t="s">
        <v>269</v>
      </c>
      <c r="G165" s="40" t="s">
        <v>170</v>
      </c>
      <c r="H165" s="40" t="s">
        <v>171</v>
      </c>
      <c r="I165" s="40" t="s">
        <v>172</v>
      </c>
      <c r="J165" s="40" t="s">
        <v>173</v>
      </c>
      <c r="K165" s="40" t="s">
        <v>174</v>
      </c>
      <c r="L165" s="40" t="s">
        <v>175</v>
      </c>
      <c r="M165" s="40" t="s">
        <v>224</v>
      </c>
      <c r="N165" s="40" t="s">
        <v>225</v>
      </c>
      <c r="O165" s="40" t="s">
        <v>249</v>
      </c>
      <c r="P165" s="40" t="s">
        <v>250</v>
      </c>
      <c r="Q165" s="40" t="s">
        <v>251</v>
      </c>
      <c r="R165" s="40" t="s">
        <v>252</v>
      </c>
    </row>
    <row r="166" spans="1:36" ht="30" x14ac:dyDescent="0.25">
      <c r="A166" s="7" t="s">
        <v>108</v>
      </c>
      <c r="C166" s="3">
        <f>O166</f>
        <v>26733153.419999998</v>
      </c>
      <c r="E166" s="3">
        <f>'[2]NOTAS (2)'!N160</f>
        <v>15473199.52</v>
      </c>
      <c r="G166" s="3">
        <v>16269097.32</v>
      </c>
      <c r="H166" s="3">
        <v>17736697.600000001</v>
      </c>
      <c r="I166" s="3">
        <v>17809738.969999999</v>
      </c>
      <c r="J166" s="3">
        <v>16572430.539999999</v>
      </c>
      <c r="K166" s="3">
        <v>17216360.760000002</v>
      </c>
      <c r="L166" s="3">
        <v>1081226.67</v>
      </c>
      <c r="M166" s="3">
        <f>5426258.21+35690888.84</f>
        <v>41117147.050000004</v>
      </c>
      <c r="N166" s="3">
        <f>18099994.8+6023858.47+75864.76</f>
        <v>24199718.030000001</v>
      </c>
      <c r="O166" s="3">
        <f>19043106.33+6689775.9+1000271.19</f>
        <v>26733153.419999998</v>
      </c>
      <c r="P166" s="3">
        <v>0</v>
      </c>
      <c r="Q166" s="3">
        <v>0</v>
      </c>
      <c r="R166" s="3">
        <v>0</v>
      </c>
      <c r="S166" s="54">
        <v>2</v>
      </c>
      <c r="T166" s="55">
        <v>1</v>
      </c>
      <c r="U166" s="55">
        <v>1</v>
      </c>
      <c r="V166" s="55">
        <v>2</v>
      </c>
      <c r="W166" s="55" t="s">
        <v>271</v>
      </c>
    </row>
    <row r="167" spans="1:36" x14ac:dyDescent="0.25">
      <c r="A167" s="7" t="s">
        <v>109</v>
      </c>
      <c r="C167" s="3">
        <f>O167</f>
        <v>70000</v>
      </c>
      <c r="E167" s="3">
        <f>'[2]NOTAS (2)'!N161</f>
        <v>50231.68</v>
      </c>
      <c r="G167" s="3">
        <v>0</v>
      </c>
      <c r="H167" s="3">
        <v>0</v>
      </c>
      <c r="I167" s="3">
        <v>670138.6</v>
      </c>
      <c r="J167" s="3">
        <v>0</v>
      </c>
      <c r="K167" s="3">
        <v>37191</v>
      </c>
      <c r="L167" s="3">
        <v>23913.38</v>
      </c>
      <c r="M167" s="3">
        <v>31713</v>
      </c>
      <c r="N167" s="3">
        <v>60000</v>
      </c>
      <c r="O167" s="3">
        <v>70000</v>
      </c>
      <c r="P167" s="3">
        <v>0</v>
      </c>
      <c r="Q167" s="3">
        <v>0</v>
      </c>
      <c r="R167" s="3">
        <v>0</v>
      </c>
      <c r="S167" s="54">
        <v>2</v>
      </c>
      <c r="T167" s="55">
        <v>1</v>
      </c>
      <c r="U167" s="55">
        <v>1</v>
      </c>
      <c r="V167" s="55">
        <v>2</v>
      </c>
      <c r="W167" s="55" t="s">
        <v>177</v>
      </c>
    </row>
    <row r="168" spans="1:36" s="6" customFormat="1" ht="30.75" thickBot="1" x14ac:dyDescent="0.3">
      <c r="A168" s="2" t="s">
        <v>110</v>
      </c>
      <c r="C168" s="9">
        <f>SUM(C166:C167)</f>
        <v>26803153.419999998</v>
      </c>
      <c r="E168" s="9">
        <f>SUM(E166:E167)</f>
        <v>15523431.199999999</v>
      </c>
      <c r="G168" s="9">
        <f>SUM(G166:G167)</f>
        <v>16269097.32</v>
      </c>
      <c r="H168" s="9">
        <f t="shared" ref="H168:R168" si="37">SUM(H166:H167)</f>
        <v>17736697.600000001</v>
      </c>
      <c r="I168" s="9">
        <f t="shared" si="37"/>
        <v>18479877.57</v>
      </c>
      <c r="J168" s="9">
        <f t="shared" si="37"/>
        <v>16572430.539999999</v>
      </c>
      <c r="K168" s="9">
        <f t="shared" si="37"/>
        <v>17253551.760000002</v>
      </c>
      <c r="L168" s="9">
        <f t="shared" si="37"/>
        <v>1105140.0499999998</v>
      </c>
      <c r="M168" s="9">
        <f t="shared" si="37"/>
        <v>41148860.050000004</v>
      </c>
      <c r="N168" s="9">
        <f t="shared" si="37"/>
        <v>24259718.030000001</v>
      </c>
      <c r="O168" s="9">
        <f t="shared" si="37"/>
        <v>26803153.419999998</v>
      </c>
      <c r="P168" s="9">
        <f t="shared" si="37"/>
        <v>0</v>
      </c>
      <c r="Q168" s="9">
        <f t="shared" si="37"/>
        <v>0</v>
      </c>
      <c r="R168" s="9">
        <f t="shared" si="37"/>
        <v>0</v>
      </c>
      <c r="S168" s="5"/>
      <c r="T168" s="56"/>
      <c r="U168" s="56"/>
      <c r="V168" s="56"/>
      <c r="W168" s="56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</row>
    <row r="169" spans="1:36" ht="16.5" customHeight="1" thickTop="1" x14ac:dyDescent="0.25">
      <c r="C169" s="3">
        <f>+C168-E168</f>
        <v>11279722.219999999</v>
      </c>
    </row>
    <row r="170" spans="1:36" ht="17.25" customHeight="1" x14ac:dyDescent="0.25">
      <c r="C170" s="57">
        <f>+C169/E168</f>
        <v>0.72662558133410604</v>
      </c>
    </row>
    <row r="171" spans="1:36" x14ac:dyDescent="0.25">
      <c r="A171" s="35" t="s">
        <v>111</v>
      </c>
      <c r="B171" s="36"/>
      <c r="C171" s="37"/>
      <c r="D171" s="36"/>
      <c r="E171" s="37"/>
      <c r="F171" s="36"/>
      <c r="G171" s="37"/>
      <c r="H171" s="37"/>
      <c r="I171" s="37"/>
      <c r="J171" s="37"/>
      <c r="K171" s="37"/>
      <c r="L171" s="37"/>
      <c r="M171" s="37"/>
      <c r="N171" s="37" t="s">
        <v>235</v>
      </c>
      <c r="O171" s="37"/>
      <c r="P171" s="37"/>
      <c r="Q171" s="37"/>
      <c r="R171" s="37"/>
    </row>
    <row r="172" spans="1:36" x14ac:dyDescent="0.25">
      <c r="A172" s="2"/>
    </row>
    <row r="173" spans="1:36" x14ac:dyDescent="0.25">
      <c r="A173" s="4" t="s">
        <v>10</v>
      </c>
      <c r="C173" s="5" t="s">
        <v>268</v>
      </c>
      <c r="D173" s="6"/>
      <c r="E173" s="5" t="s">
        <v>269</v>
      </c>
      <c r="G173" s="40" t="s">
        <v>170</v>
      </c>
      <c r="H173" s="40" t="s">
        <v>171</v>
      </c>
      <c r="I173" s="40" t="s">
        <v>172</v>
      </c>
      <c r="J173" s="40" t="s">
        <v>173</v>
      </c>
      <c r="K173" s="40" t="s">
        <v>174</v>
      </c>
      <c r="L173" s="40" t="s">
        <v>175</v>
      </c>
      <c r="M173" s="40" t="s">
        <v>224</v>
      </c>
      <c r="N173" s="40" t="s">
        <v>225</v>
      </c>
      <c r="O173" s="40" t="s">
        <v>249</v>
      </c>
      <c r="P173" s="40" t="s">
        <v>250</v>
      </c>
      <c r="Q173" s="40" t="s">
        <v>251</v>
      </c>
      <c r="R173" s="40" t="s">
        <v>252</v>
      </c>
    </row>
    <row r="174" spans="1:36" x14ac:dyDescent="0.25">
      <c r="A174" s="108" t="s">
        <v>257</v>
      </c>
      <c r="C174" s="51">
        <f>O174</f>
        <v>0</v>
      </c>
      <c r="D174" s="6"/>
      <c r="E174" s="40"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54" t="s">
        <v>258</v>
      </c>
      <c r="T174" s="55" t="s">
        <v>259</v>
      </c>
      <c r="U174" s="55" t="s">
        <v>259</v>
      </c>
      <c r="V174" s="55" t="s">
        <v>260</v>
      </c>
      <c r="W174" s="55" t="s">
        <v>179</v>
      </c>
    </row>
    <row r="175" spans="1:36" x14ac:dyDescent="0.25">
      <c r="A175" s="7" t="s">
        <v>112</v>
      </c>
      <c r="C175" s="51">
        <f t="shared" ref="C175:C176" si="38">O175</f>
        <v>39900</v>
      </c>
      <c r="E175" s="51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51">
        <v>477762.4</v>
      </c>
      <c r="M175" s="51">
        <v>596907</v>
      </c>
      <c r="N175" s="51">
        <f>322936.9+89817</f>
        <v>412753.9</v>
      </c>
      <c r="O175" s="51">
        <v>39900</v>
      </c>
      <c r="P175" s="34">
        <v>0</v>
      </c>
      <c r="Q175" s="34">
        <v>0</v>
      </c>
      <c r="R175" s="34">
        <v>0</v>
      </c>
      <c r="S175" s="54">
        <v>2</v>
      </c>
      <c r="T175" s="55">
        <v>1</v>
      </c>
      <c r="U175" s="55">
        <v>1</v>
      </c>
      <c r="V175" s="55">
        <v>5</v>
      </c>
      <c r="W175" s="55" t="s">
        <v>177</v>
      </c>
    </row>
    <row r="176" spans="1:36" s="6" customFormat="1" ht="30" x14ac:dyDescent="0.25">
      <c r="A176" s="7" t="s">
        <v>113</v>
      </c>
      <c r="B176" s="1"/>
      <c r="C176" s="51">
        <f t="shared" si="38"/>
        <v>666665.35</v>
      </c>
      <c r="D176" s="1"/>
      <c r="E176" s="51">
        <v>0</v>
      </c>
      <c r="F176" s="1"/>
      <c r="G176" s="34">
        <v>0</v>
      </c>
      <c r="H176" s="34">
        <v>0</v>
      </c>
      <c r="I176" s="51">
        <v>186345.33</v>
      </c>
      <c r="J176" s="34">
        <v>0</v>
      </c>
      <c r="K176" s="51">
        <v>175999.78</v>
      </c>
      <c r="L176" s="34">
        <v>0</v>
      </c>
      <c r="M176" s="51">
        <v>235844.12</v>
      </c>
      <c r="N176" s="51">
        <f>294631.52+14506.67</f>
        <v>309138.19</v>
      </c>
      <c r="O176" s="51">
        <v>666665.35</v>
      </c>
      <c r="P176" s="34">
        <v>0</v>
      </c>
      <c r="Q176" s="34">
        <v>0</v>
      </c>
      <c r="R176" s="34">
        <v>0</v>
      </c>
      <c r="S176" s="54">
        <v>2</v>
      </c>
      <c r="T176" s="55">
        <v>1</v>
      </c>
      <c r="U176" s="55">
        <v>1</v>
      </c>
      <c r="V176" s="55">
        <v>5</v>
      </c>
      <c r="W176" s="55" t="s">
        <v>178</v>
      </c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</row>
    <row r="177" spans="1:36" ht="15.75" thickBot="1" x14ac:dyDescent="0.3">
      <c r="A177" s="2" t="s">
        <v>114</v>
      </c>
      <c r="B177" s="6"/>
      <c r="C177" s="9">
        <f>SUM(C174:C176)</f>
        <v>706565.35</v>
      </c>
      <c r="D177" s="6"/>
      <c r="E177" s="9">
        <f>SUM(E175:E176)</f>
        <v>0</v>
      </c>
      <c r="F177" s="6"/>
      <c r="G177" s="142">
        <f>SUM(G174:G176)</f>
        <v>0</v>
      </c>
      <c r="H177" s="142">
        <f t="shared" ref="H177:R177" si="39">SUM(H174:H176)</f>
        <v>0</v>
      </c>
      <c r="I177" s="142">
        <f t="shared" si="39"/>
        <v>186345.33</v>
      </c>
      <c r="J177" s="142">
        <f t="shared" si="39"/>
        <v>0</v>
      </c>
      <c r="K177" s="142">
        <f t="shared" si="39"/>
        <v>175999.78</v>
      </c>
      <c r="L177" s="142">
        <f t="shared" si="39"/>
        <v>477762.4</v>
      </c>
      <c r="M177" s="142">
        <f t="shared" si="39"/>
        <v>832751.12</v>
      </c>
      <c r="N177" s="142">
        <f t="shared" si="39"/>
        <v>721892.09000000008</v>
      </c>
      <c r="O177" s="142">
        <f t="shared" si="39"/>
        <v>706565.35</v>
      </c>
      <c r="P177" s="53">
        <f t="shared" si="39"/>
        <v>0</v>
      </c>
      <c r="Q177" s="53">
        <f t="shared" si="39"/>
        <v>0</v>
      </c>
      <c r="R177" s="53">
        <f t="shared" si="39"/>
        <v>0</v>
      </c>
      <c r="S177" s="5"/>
      <c r="T177" s="56"/>
      <c r="U177" s="56"/>
      <c r="V177" s="56"/>
      <c r="W177" s="56"/>
    </row>
    <row r="178" spans="1:36" ht="15.75" thickTop="1" x14ac:dyDescent="0.25">
      <c r="C178" s="3">
        <f>+C177-E177</f>
        <v>706565.35</v>
      </c>
    </row>
    <row r="179" spans="1:36" x14ac:dyDescent="0.25">
      <c r="C179" s="57" t="e">
        <f>+C178/E177</f>
        <v>#DIV/0!</v>
      </c>
    </row>
    <row r="180" spans="1:36" x14ac:dyDescent="0.25">
      <c r="A180" s="35" t="s">
        <v>115</v>
      </c>
      <c r="B180" s="36"/>
      <c r="C180" s="37"/>
      <c r="D180" s="36"/>
      <c r="E180" s="37"/>
      <c r="F180" s="36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</row>
    <row r="181" spans="1:36" x14ac:dyDescent="0.25">
      <c r="A181" s="2"/>
    </row>
    <row r="182" spans="1:36" x14ac:dyDescent="0.25">
      <c r="A182" s="4" t="s">
        <v>10</v>
      </c>
      <c r="C182" s="5" t="s">
        <v>268</v>
      </c>
      <c r="D182" s="6"/>
      <c r="E182" s="5" t="s">
        <v>269</v>
      </c>
      <c r="G182" s="40" t="s">
        <v>170</v>
      </c>
      <c r="H182" s="40" t="s">
        <v>171</v>
      </c>
      <c r="I182" s="40" t="s">
        <v>172</v>
      </c>
      <c r="J182" s="40" t="s">
        <v>173</v>
      </c>
      <c r="K182" s="40" t="s">
        <v>174</v>
      </c>
      <c r="L182" s="40" t="s">
        <v>175</v>
      </c>
      <c r="M182" s="40" t="s">
        <v>224</v>
      </c>
      <c r="N182" s="40" t="s">
        <v>225</v>
      </c>
      <c r="O182" s="40" t="s">
        <v>249</v>
      </c>
      <c r="P182" s="40" t="s">
        <v>250</v>
      </c>
      <c r="Q182" s="40" t="s">
        <v>251</v>
      </c>
      <c r="R182" s="40" t="s">
        <v>252</v>
      </c>
    </row>
    <row r="183" spans="1:36" ht="30" x14ac:dyDescent="0.25">
      <c r="A183" s="7" t="s">
        <v>116</v>
      </c>
      <c r="C183" s="3">
        <f>O183</f>
        <v>0</v>
      </c>
      <c r="E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54">
        <v>2</v>
      </c>
      <c r="T183" s="55">
        <v>1</v>
      </c>
      <c r="U183" s="55">
        <v>2</v>
      </c>
      <c r="V183" s="55">
        <v>2</v>
      </c>
      <c r="W183" s="55" t="s">
        <v>180</v>
      </c>
    </row>
    <row r="184" spans="1:36" x14ac:dyDescent="0.25">
      <c r="A184" s="7" t="s">
        <v>117</v>
      </c>
      <c r="C184" s="3">
        <f t="shared" ref="C184:C187" si="40">O184</f>
        <v>453236</v>
      </c>
      <c r="E184" s="3">
        <v>349354</v>
      </c>
      <c r="G184" s="3">
        <v>373854</v>
      </c>
      <c r="H184" s="3">
        <v>373854</v>
      </c>
      <c r="I184" s="3">
        <v>374354</v>
      </c>
      <c r="J184" s="3">
        <v>393854</v>
      </c>
      <c r="K184" s="3">
        <v>394854</v>
      </c>
      <c r="L184" s="3">
        <v>0</v>
      </c>
      <c r="M184" s="3">
        <v>855208</v>
      </c>
      <c r="N184" s="3">
        <v>453236</v>
      </c>
      <c r="O184" s="3">
        <v>453236</v>
      </c>
      <c r="P184" s="3">
        <v>0</v>
      </c>
      <c r="Q184" s="3">
        <v>0</v>
      </c>
      <c r="R184" s="3">
        <v>0</v>
      </c>
      <c r="S184" s="54">
        <v>2</v>
      </c>
      <c r="T184" s="55">
        <v>1</v>
      </c>
      <c r="U184" s="55">
        <v>2</v>
      </c>
      <c r="V184" s="55">
        <v>2</v>
      </c>
      <c r="W184" s="55" t="s">
        <v>181</v>
      </c>
    </row>
    <row r="185" spans="1:36" s="6" customFormat="1" x14ac:dyDescent="0.25">
      <c r="A185" s="7" t="s">
        <v>118</v>
      </c>
      <c r="B185" s="1"/>
      <c r="C185" s="3">
        <f t="shared" si="40"/>
        <v>10658571.66</v>
      </c>
      <c r="D185" s="1"/>
      <c r="E185" s="3">
        <v>60929.43</v>
      </c>
      <c r="F185" s="1"/>
      <c r="G185" s="3">
        <v>5647449.5599999996</v>
      </c>
      <c r="H185" s="3">
        <v>0</v>
      </c>
      <c r="I185" s="3">
        <v>10245160.82</v>
      </c>
      <c r="J185" s="3">
        <v>10716066.26</v>
      </c>
      <c r="K185" s="3">
        <v>0</v>
      </c>
      <c r="L185" s="3">
        <v>7100462.4699999997</v>
      </c>
      <c r="M185" s="3">
        <v>11125069.869999999</v>
      </c>
      <c r="N185" s="3">
        <v>0</v>
      </c>
      <c r="O185" s="3">
        <v>10658571.66</v>
      </c>
      <c r="P185" s="3">
        <v>0</v>
      </c>
      <c r="Q185" s="3">
        <v>0</v>
      </c>
      <c r="R185" s="3">
        <v>0</v>
      </c>
      <c r="S185" s="54">
        <v>2</v>
      </c>
      <c r="T185" s="55">
        <v>1</v>
      </c>
      <c r="U185" s="55">
        <v>2</v>
      </c>
      <c r="V185" s="55">
        <v>2</v>
      </c>
      <c r="W185" s="55" t="s">
        <v>182</v>
      </c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:36" x14ac:dyDescent="0.25">
      <c r="A186" s="7" t="s">
        <v>255</v>
      </c>
      <c r="C186" s="3">
        <f t="shared" si="40"/>
        <v>66413</v>
      </c>
      <c r="E186" s="3">
        <v>0</v>
      </c>
      <c r="G186" s="3">
        <v>66413</v>
      </c>
      <c r="H186" s="3">
        <v>66413</v>
      </c>
      <c r="I186" s="3">
        <v>66413</v>
      </c>
      <c r="J186" s="3">
        <v>59771.7</v>
      </c>
      <c r="K186" s="3">
        <v>66413</v>
      </c>
      <c r="L186" s="3">
        <v>0</v>
      </c>
      <c r="M186" s="3">
        <v>5468959.6399999997</v>
      </c>
      <c r="N186" s="3">
        <v>66413</v>
      </c>
      <c r="O186" s="3">
        <v>66413</v>
      </c>
      <c r="P186" s="3">
        <v>0</v>
      </c>
      <c r="Q186" s="3">
        <v>0</v>
      </c>
      <c r="R186" s="3">
        <v>0</v>
      </c>
      <c r="S186" s="54">
        <v>2</v>
      </c>
      <c r="T186" s="55">
        <v>1</v>
      </c>
      <c r="U186" s="55">
        <v>2</v>
      </c>
      <c r="V186" s="55">
        <v>2</v>
      </c>
      <c r="W186" s="55" t="s">
        <v>256</v>
      </c>
    </row>
    <row r="187" spans="1:36" x14ac:dyDescent="0.25">
      <c r="A187" s="11" t="s">
        <v>596</v>
      </c>
      <c r="B187" s="6"/>
      <c r="C187" s="3">
        <f t="shared" si="40"/>
        <v>42900</v>
      </c>
      <c r="D187" s="6"/>
      <c r="E187" s="58">
        <v>0</v>
      </c>
      <c r="F187" s="6"/>
      <c r="G187" s="279">
        <v>0</v>
      </c>
      <c r="H187" s="279">
        <v>0</v>
      </c>
      <c r="I187" s="279">
        <v>0</v>
      </c>
      <c r="J187" s="279">
        <v>0</v>
      </c>
      <c r="K187" s="279">
        <v>0</v>
      </c>
      <c r="L187" s="279">
        <v>0</v>
      </c>
      <c r="M187" s="279">
        <v>0</v>
      </c>
      <c r="N187" s="279">
        <v>0</v>
      </c>
      <c r="O187" s="279">
        <v>42900</v>
      </c>
      <c r="P187" s="279">
        <v>0</v>
      </c>
      <c r="Q187" s="279">
        <v>0</v>
      </c>
      <c r="R187" s="279">
        <v>0</v>
      </c>
      <c r="S187" s="281" t="s">
        <v>258</v>
      </c>
      <c r="T187" s="280" t="s">
        <v>259</v>
      </c>
      <c r="U187" s="280" t="s">
        <v>258</v>
      </c>
      <c r="V187" s="280" t="s">
        <v>258</v>
      </c>
      <c r="W187" s="280" t="s">
        <v>597</v>
      </c>
    </row>
    <row r="188" spans="1:36" ht="15.75" thickBot="1" x14ac:dyDescent="0.3">
      <c r="A188" s="2" t="s">
        <v>119</v>
      </c>
      <c r="C188" s="9">
        <f>SUM(C183:C187)</f>
        <v>11221120.66</v>
      </c>
      <c r="E188" s="9">
        <f>SUM(E183:E187)</f>
        <v>410283.43</v>
      </c>
      <c r="G188" s="9">
        <f>SUM(G183:G187)</f>
        <v>6087716.5599999996</v>
      </c>
      <c r="H188" s="9">
        <f t="shared" ref="H188:R188" si="41">SUM(H183:H187)</f>
        <v>440267</v>
      </c>
      <c r="I188" s="9">
        <f t="shared" si="41"/>
        <v>10685927.82</v>
      </c>
      <c r="J188" s="9">
        <f t="shared" si="41"/>
        <v>11169691.959999999</v>
      </c>
      <c r="K188" s="9">
        <f t="shared" si="41"/>
        <v>461267</v>
      </c>
      <c r="L188" s="9">
        <f t="shared" si="41"/>
        <v>7100462.4699999997</v>
      </c>
      <c r="M188" s="9">
        <f t="shared" si="41"/>
        <v>17449237.509999998</v>
      </c>
      <c r="N188" s="9">
        <f t="shared" si="41"/>
        <v>519649</v>
      </c>
      <c r="O188" s="9">
        <f t="shared" si="41"/>
        <v>11221120.66</v>
      </c>
      <c r="P188" s="9">
        <f t="shared" si="41"/>
        <v>0</v>
      </c>
      <c r="Q188" s="9">
        <f t="shared" si="41"/>
        <v>0</v>
      </c>
      <c r="R188" s="9">
        <f t="shared" si="41"/>
        <v>0</v>
      </c>
    </row>
    <row r="189" spans="1:36" ht="15.75" thickTop="1" x14ac:dyDescent="0.25">
      <c r="C189" s="57" t="e">
        <f>+C188/E187</f>
        <v>#DIV/0!</v>
      </c>
      <c r="Q189" s="219"/>
    </row>
    <row r="190" spans="1:36" x14ac:dyDescent="0.25">
      <c r="A190" s="35" t="s">
        <v>120</v>
      </c>
      <c r="B190" s="36"/>
      <c r="C190" s="37"/>
      <c r="D190" s="36"/>
      <c r="E190" s="37"/>
      <c r="F190" s="36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</row>
    <row r="191" spans="1:36" x14ac:dyDescent="0.25">
      <c r="A191" s="2"/>
    </row>
    <row r="192" spans="1:36" x14ac:dyDescent="0.25">
      <c r="A192" s="4" t="s">
        <v>10</v>
      </c>
      <c r="C192" s="5" t="s">
        <v>268</v>
      </c>
      <c r="D192" s="6"/>
      <c r="E192" s="5" t="s">
        <v>269</v>
      </c>
      <c r="G192" s="40" t="s">
        <v>170</v>
      </c>
      <c r="H192" s="40" t="s">
        <v>171</v>
      </c>
      <c r="I192" s="40" t="s">
        <v>172</v>
      </c>
      <c r="J192" s="40" t="s">
        <v>173</v>
      </c>
      <c r="K192" s="40" t="s">
        <v>174</v>
      </c>
      <c r="L192" s="40" t="s">
        <v>175</v>
      </c>
      <c r="M192" s="40" t="s">
        <v>224</v>
      </c>
      <c r="N192" s="40" t="s">
        <v>225</v>
      </c>
      <c r="O192" s="40" t="s">
        <v>249</v>
      </c>
      <c r="P192" s="40" t="s">
        <v>250</v>
      </c>
      <c r="Q192" s="40" t="s">
        <v>251</v>
      </c>
      <c r="R192" s="40" t="s">
        <v>252</v>
      </c>
    </row>
    <row r="193" spans="1:36" x14ac:dyDescent="0.25">
      <c r="A193" s="7" t="s">
        <v>121</v>
      </c>
      <c r="C193" s="3">
        <f>O193</f>
        <v>1763236.31</v>
      </c>
      <c r="E193" s="3">
        <v>1097050.2</v>
      </c>
      <c r="G193" s="3">
        <v>1151021.32</v>
      </c>
      <c r="H193" s="3">
        <v>1142151.45</v>
      </c>
      <c r="I193" s="3">
        <v>1139682.56</v>
      </c>
      <c r="J193" s="3">
        <v>1126248.1499999999</v>
      </c>
      <c r="K193" s="3">
        <v>1174549.25</v>
      </c>
      <c r="L193" s="3">
        <v>0</v>
      </c>
      <c r="M193" s="3">
        <f>2530484.01+752121.3</f>
        <v>3282605.3099999996</v>
      </c>
      <c r="N193" s="3">
        <v>1811014.62</v>
      </c>
      <c r="O193" s="3">
        <v>1763236.31</v>
      </c>
      <c r="P193" s="3">
        <v>0</v>
      </c>
      <c r="Q193" s="3">
        <v>0</v>
      </c>
      <c r="R193" s="3">
        <v>0</v>
      </c>
      <c r="S193" s="54">
        <v>2</v>
      </c>
      <c r="T193" s="55">
        <v>1</v>
      </c>
      <c r="U193" s="55">
        <v>5</v>
      </c>
      <c r="V193" s="55">
        <v>1</v>
      </c>
      <c r="W193" s="55" t="s">
        <v>179</v>
      </c>
    </row>
    <row r="194" spans="1:36" s="6" customFormat="1" ht="30" x14ac:dyDescent="0.25">
      <c r="A194" s="7" t="s">
        <v>122</v>
      </c>
      <c r="B194" s="1"/>
      <c r="C194" s="3">
        <f t="shared" ref="C194:C195" si="42">O194</f>
        <v>1763720.21</v>
      </c>
      <c r="D194" s="1"/>
      <c r="E194" s="3">
        <v>1098597.0900000001</v>
      </c>
      <c r="F194" s="1"/>
      <c r="G194" s="3">
        <v>1152644.1599999999</v>
      </c>
      <c r="H194" s="3">
        <v>1143761.78</v>
      </c>
      <c r="I194" s="3">
        <v>1141292.4099999999</v>
      </c>
      <c r="J194" s="3">
        <v>1023836.06</v>
      </c>
      <c r="K194" s="3">
        <v>1176205.28</v>
      </c>
      <c r="L194" s="3">
        <v>0</v>
      </c>
      <c r="M194" s="3">
        <f>2534052.94+764182.13</f>
        <v>3298235.07</v>
      </c>
      <c r="N194" s="3">
        <v>1672391.1</v>
      </c>
      <c r="O194" s="3">
        <v>1763720.21</v>
      </c>
      <c r="P194" s="3">
        <v>0</v>
      </c>
      <c r="Q194" s="3">
        <v>0</v>
      </c>
      <c r="R194" s="3">
        <v>0</v>
      </c>
      <c r="S194" s="54">
        <v>2</v>
      </c>
      <c r="T194" s="55">
        <v>1</v>
      </c>
      <c r="U194" s="55">
        <v>5</v>
      </c>
      <c r="V194" s="55">
        <v>2</v>
      </c>
      <c r="W194" s="55" t="s">
        <v>179</v>
      </c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spans="1:36" ht="30" x14ac:dyDescent="0.25">
      <c r="A195" s="7" t="s">
        <v>123</v>
      </c>
      <c r="C195" s="3">
        <f t="shared" si="42"/>
        <v>282467.33</v>
      </c>
      <c r="E195" s="3">
        <v>180866.43</v>
      </c>
      <c r="G195" s="3">
        <v>189825.73</v>
      </c>
      <c r="H195" s="3">
        <v>188324.49</v>
      </c>
      <c r="I195" s="3">
        <v>187906.62</v>
      </c>
      <c r="J195" s="3">
        <v>185632.62</v>
      </c>
      <c r="K195" s="3">
        <v>195937.92000000001</v>
      </c>
      <c r="L195" s="3">
        <v>0</v>
      </c>
      <c r="M195" s="3">
        <f>250904.62+185799.36</f>
        <v>436703.98</v>
      </c>
      <c r="N195" s="3">
        <v>63143.199999999997</v>
      </c>
      <c r="O195" s="3">
        <v>282467.33</v>
      </c>
      <c r="P195" s="3">
        <v>0</v>
      </c>
      <c r="Q195" s="3">
        <v>0</v>
      </c>
      <c r="R195" s="3">
        <v>0</v>
      </c>
      <c r="S195" s="54">
        <v>2</v>
      </c>
      <c r="T195" s="55">
        <v>1</v>
      </c>
      <c r="U195" s="55">
        <v>5</v>
      </c>
      <c r="V195" s="55">
        <v>3</v>
      </c>
      <c r="W195" s="55" t="s">
        <v>179</v>
      </c>
    </row>
    <row r="196" spans="1:36" ht="15.75" thickBot="1" x14ac:dyDescent="0.3">
      <c r="A196" s="2"/>
      <c r="B196" s="6"/>
      <c r="C196" s="9">
        <f>SUM(C193:C195)</f>
        <v>3809423.85</v>
      </c>
      <c r="D196" s="6"/>
      <c r="E196" s="9">
        <f>SUM(E193:E195)</f>
        <v>2376513.7200000002</v>
      </c>
      <c r="F196" s="6"/>
      <c r="G196" s="9">
        <f t="shared" ref="G196:R196" si="43">SUM(G193:G195)</f>
        <v>2493491.21</v>
      </c>
      <c r="H196" s="9">
        <f t="shared" si="43"/>
        <v>2474237.7199999997</v>
      </c>
      <c r="I196" s="9">
        <f t="shared" si="43"/>
        <v>2468881.59</v>
      </c>
      <c r="J196" s="9">
        <f t="shared" si="43"/>
        <v>2335716.83</v>
      </c>
      <c r="K196" s="9">
        <f t="shared" si="43"/>
        <v>2546692.4500000002</v>
      </c>
      <c r="L196" s="9">
        <f t="shared" si="43"/>
        <v>0</v>
      </c>
      <c r="M196" s="9">
        <f t="shared" si="43"/>
        <v>7017544.3599999994</v>
      </c>
      <c r="N196" s="9">
        <f t="shared" si="43"/>
        <v>3546548.9200000004</v>
      </c>
      <c r="O196" s="9">
        <f t="shared" si="43"/>
        <v>3809423.85</v>
      </c>
      <c r="P196" s="9">
        <f t="shared" si="43"/>
        <v>0</v>
      </c>
      <c r="Q196" s="9">
        <f t="shared" si="43"/>
        <v>0</v>
      </c>
      <c r="R196" s="9">
        <f t="shared" si="43"/>
        <v>0</v>
      </c>
      <c r="S196" s="5"/>
      <c r="T196" s="56"/>
      <c r="U196" s="56"/>
      <c r="V196" s="56"/>
      <c r="W196" s="56"/>
    </row>
    <row r="197" spans="1:36" ht="15.75" thickTop="1" x14ac:dyDescent="0.25">
      <c r="C197" s="3">
        <f>+C196-E196</f>
        <v>1432910.13</v>
      </c>
    </row>
    <row r="198" spans="1:36" x14ac:dyDescent="0.25">
      <c r="C198" s="57">
        <f>+C197/E196</f>
        <v>0.60294628974412134</v>
      </c>
      <c r="G198" s="3">
        <f>C196+C187+C168</f>
        <v>30655477.27</v>
      </c>
    </row>
    <row r="199" spans="1:36" x14ac:dyDescent="0.25">
      <c r="A199" s="35" t="s">
        <v>124</v>
      </c>
      <c r="B199" s="36"/>
      <c r="C199" s="37"/>
      <c r="D199" s="36"/>
      <c r="E199" s="37"/>
      <c r="F199" s="36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</row>
    <row r="200" spans="1:36" x14ac:dyDescent="0.25">
      <c r="A200" s="2"/>
    </row>
    <row r="201" spans="1:36" x14ac:dyDescent="0.25">
      <c r="A201" s="4" t="s">
        <v>10</v>
      </c>
      <c r="C201" s="5" t="s">
        <v>268</v>
      </c>
      <c r="D201" s="6"/>
      <c r="E201" s="5" t="s">
        <v>269</v>
      </c>
      <c r="G201" s="40" t="s">
        <v>170</v>
      </c>
      <c r="H201" s="40" t="s">
        <v>171</v>
      </c>
      <c r="I201" s="40" t="s">
        <v>172</v>
      </c>
      <c r="J201" s="40" t="s">
        <v>173</v>
      </c>
      <c r="K201" s="40" t="s">
        <v>174</v>
      </c>
      <c r="L201" s="40" t="s">
        <v>175</v>
      </c>
      <c r="M201" s="40" t="s">
        <v>224</v>
      </c>
      <c r="N201" s="40" t="s">
        <v>225</v>
      </c>
      <c r="O201" s="40" t="s">
        <v>249</v>
      </c>
      <c r="P201" s="40" t="s">
        <v>250</v>
      </c>
      <c r="Q201" s="40" t="s">
        <v>251</v>
      </c>
      <c r="R201" s="40" t="s">
        <v>252</v>
      </c>
    </row>
    <row r="202" spans="1:36" s="6" customFormat="1" ht="30" x14ac:dyDescent="0.25">
      <c r="A202" s="7" t="s">
        <v>125</v>
      </c>
      <c r="B202" s="1"/>
      <c r="C202" s="3">
        <f>O202</f>
        <v>0</v>
      </c>
      <c r="D202" s="1"/>
      <c r="E202" s="34">
        <v>0</v>
      </c>
      <c r="F202" s="1"/>
      <c r="G202" s="3">
        <v>0</v>
      </c>
      <c r="H202" s="3">
        <v>0</v>
      </c>
      <c r="I202" s="3">
        <v>0</v>
      </c>
      <c r="J202" s="3">
        <v>5000</v>
      </c>
      <c r="K202" s="3">
        <v>0</v>
      </c>
      <c r="L202" s="3">
        <v>267509.24</v>
      </c>
      <c r="M202" s="3">
        <v>0</v>
      </c>
      <c r="N202" s="3">
        <v>172500</v>
      </c>
      <c r="O202" s="3">
        <v>0</v>
      </c>
      <c r="P202" s="3">
        <v>0</v>
      </c>
      <c r="Q202" s="3">
        <v>0</v>
      </c>
      <c r="R202" s="3">
        <v>0</v>
      </c>
      <c r="S202" s="54">
        <v>2</v>
      </c>
      <c r="T202" s="55">
        <v>4</v>
      </c>
      <c r="U202" s="55">
        <v>1</v>
      </c>
      <c r="V202" s="55">
        <v>2</v>
      </c>
      <c r="W202" s="55" t="s">
        <v>180</v>
      </c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spans="1:36" s="6" customFormat="1" ht="30" x14ac:dyDescent="0.25">
      <c r="A203" s="7" t="s">
        <v>126</v>
      </c>
      <c r="B203" s="1"/>
      <c r="C203" s="3">
        <f t="shared" ref="C203" si="44">O203</f>
        <v>0</v>
      </c>
      <c r="D203" s="1"/>
      <c r="E203" s="34">
        <v>0</v>
      </c>
      <c r="F203" s="1"/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54">
        <v>2</v>
      </c>
      <c r="T203" s="55">
        <v>4</v>
      </c>
      <c r="U203" s="55">
        <v>5</v>
      </c>
      <c r="V203" s="55">
        <v>2</v>
      </c>
      <c r="W203" s="55" t="s">
        <v>179</v>
      </c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spans="1:36" s="6" customFormat="1" ht="30.75" thickBot="1" x14ac:dyDescent="0.3">
      <c r="A204" s="2" t="s">
        <v>127</v>
      </c>
      <c r="C204" s="9">
        <f>SUM(C202:C203)</f>
        <v>0</v>
      </c>
      <c r="E204" s="9">
        <f>SUM(E202:E203)</f>
        <v>0</v>
      </c>
      <c r="G204" s="9">
        <f t="shared" ref="G204:R204" si="45">SUM(G202:G203)</f>
        <v>0</v>
      </c>
      <c r="H204" s="9">
        <f t="shared" si="45"/>
        <v>0</v>
      </c>
      <c r="I204" s="9">
        <f t="shared" si="45"/>
        <v>0</v>
      </c>
      <c r="J204" s="9">
        <f t="shared" si="45"/>
        <v>5000</v>
      </c>
      <c r="K204" s="9">
        <f t="shared" si="45"/>
        <v>0</v>
      </c>
      <c r="L204" s="9">
        <f t="shared" si="45"/>
        <v>267509.24</v>
      </c>
      <c r="M204" s="9">
        <f t="shared" si="45"/>
        <v>0</v>
      </c>
      <c r="N204" s="9">
        <f t="shared" si="45"/>
        <v>172500</v>
      </c>
      <c r="O204" s="9">
        <f t="shared" si="45"/>
        <v>0</v>
      </c>
      <c r="P204" s="9">
        <f t="shared" si="45"/>
        <v>0</v>
      </c>
      <c r="Q204" s="9">
        <f t="shared" si="45"/>
        <v>0</v>
      </c>
      <c r="R204" s="9">
        <f t="shared" si="45"/>
        <v>0</v>
      </c>
      <c r="S204" s="5"/>
      <c r="T204" s="56"/>
      <c r="U204" s="56"/>
      <c r="V204" s="56"/>
      <c r="W204" s="56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spans="1:36" ht="15.75" thickTop="1" x14ac:dyDescent="0.25">
      <c r="A205" s="2"/>
      <c r="B205" s="6"/>
      <c r="C205" s="3">
        <f>+C204-E204</f>
        <v>0</v>
      </c>
      <c r="D205" s="6"/>
      <c r="E205" s="58"/>
      <c r="F205" s="6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"/>
      <c r="T205" s="56"/>
      <c r="U205" s="56"/>
      <c r="V205" s="56"/>
      <c r="W205" s="56"/>
    </row>
    <row r="206" spans="1:36" x14ac:dyDescent="0.25">
      <c r="A206" s="2"/>
      <c r="B206" s="6"/>
      <c r="C206" s="57" t="e">
        <f>+C205/E204</f>
        <v>#DIV/0!</v>
      </c>
      <c r="D206" s="6"/>
      <c r="E206" s="58"/>
      <c r="F206" s="6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"/>
      <c r="T206" s="56"/>
      <c r="U206" s="56"/>
      <c r="V206" s="56"/>
      <c r="W206" s="56"/>
    </row>
    <row r="207" spans="1:36" x14ac:dyDescent="0.25">
      <c r="G207" s="3" t="s">
        <v>235</v>
      </c>
    </row>
    <row r="208" spans="1:36" x14ac:dyDescent="0.25">
      <c r="A208" s="35" t="s">
        <v>128</v>
      </c>
      <c r="B208" s="36"/>
      <c r="C208" s="37"/>
      <c r="D208" s="36"/>
      <c r="E208" s="37"/>
      <c r="F208" s="36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</row>
    <row r="209" spans="1:36" x14ac:dyDescent="0.25">
      <c r="A209" s="2"/>
    </row>
    <row r="210" spans="1:36" x14ac:dyDescent="0.25">
      <c r="A210" s="4" t="s">
        <v>10</v>
      </c>
      <c r="C210" s="5" t="s">
        <v>268</v>
      </c>
      <c r="D210" s="6"/>
      <c r="E210" s="5" t="s">
        <v>269</v>
      </c>
      <c r="G210" s="40" t="s">
        <v>170</v>
      </c>
      <c r="H210" s="40" t="s">
        <v>171</v>
      </c>
      <c r="I210" s="40" t="s">
        <v>172</v>
      </c>
      <c r="J210" s="40" t="s">
        <v>173</v>
      </c>
      <c r="K210" s="40" t="s">
        <v>174</v>
      </c>
      <c r="L210" s="40" t="s">
        <v>175</v>
      </c>
      <c r="M210" s="40" t="s">
        <v>224</v>
      </c>
      <c r="N210" s="40" t="s">
        <v>225</v>
      </c>
      <c r="O210" s="40" t="s">
        <v>249</v>
      </c>
      <c r="P210" s="40" t="s">
        <v>250</v>
      </c>
      <c r="Q210" s="40" t="s">
        <v>251</v>
      </c>
      <c r="R210" s="40" t="s">
        <v>252</v>
      </c>
    </row>
    <row r="211" spans="1:36" x14ac:dyDescent="0.25">
      <c r="A211" s="7" t="s">
        <v>129</v>
      </c>
      <c r="C211" s="3">
        <f>O211</f>
        <v>535836.75</v>
      </c>
      <c r="E211" s="3">
        <v>598491.43000000005</v>
      </c>
      <c r="G211" s="3">
        <v>720157.43</v>
      </c>
      <c r="H211" s="3">
        <v>705924.62</v>
      </c>
      <c r="I211" s="3">
        <v>634164.62</v>
      </c>
      <c r="J211" s="3">
        <v>600957.87</v>
      </c>
      <c r="K211" s="3">
        <v>715789.25</v>
      </c>
      <c r="L211" s="3">
        <v>733257</v>
      </c>
      <c r="M211" s="3">
        <v>805816.3</v>
      </c>
      <c r="N211" s="3">
        <v>858220.94</v>
      </c>
      <c r="O211" s="3">
        <v>535836.75</v>
      </c>
      <c r="P211" s="3">
        <v>0</v>
      </c>
      <c r="Q211" s="3">
        <v>0</v>
      </c>
      <c r="R211" s="3">
        <v>0</v>
      </c>
      <c r="S211" s="54">
        <v>2</v>
      </c>
      <c r="T211" s="55">
        <v>3</v>
      </c>
      <c r="U211" s="55">
        <v>1</v>
      </c>
    </row>
    <row r="212" spans="1:36" x14ac:dyDescent="0.25">
      <c r="A212" s="7" t="s">
        <v>130</v>
      </c>
      <c r="C212" s="3">
        <f t="shared" ref="C212:C220" si="46">O212</f>
        <v>92630</v>
      </c>
      <c r="G212" s="3">
        <v>0</v>
      </c>
      <c r="H212" s="3">
        <v>0</v>
      </c>
      <c r="I212" s="3">
        <v>0</v>
      </c>
      <c r="J212" s="3">
        <v>0</v>
      </c>
      <c r="K212" s="3">
        <v>2026684</v>
      </c>
      <c r="L212" s="3">
        <v>0</v>
      </c>
      <c r="M212" s="3">
        <v>11611.2</v>
      </c>
      <c r="N212" s="3">
        <v>0</v>
      </c>
      <c r="O212" s="3">
        <v>92630</v>
      </c>
      <c r="P212" s="3">
        <v>0</v>
      </c>
      <c r="Q212" s="3">
        <v>0</v>
      </c>
      <c r="R212" s="3">
        <v>0</v>
      </c>
      <c r="S212" s="54">
        <v>2</v>
      </c>
      <c r="T212" s="55">
        <v>3</v>
      </c>
      <c r="U212" s="55">
        <v>2</v>
      </c>
    </row>
    <row r="213" spans="1:36" ht="30" x14ac:dyDescent="0.25">
      <c r="A213" s="7" t="s">
        <v>131</v>
      </c>
      <c r="C213" s="3">
        <f t="shared" si="46"/>
        <v>286315.2</v>
      </c>
      <c r="E213" s="3">
        <v>284757.59999999998</v>
      </c>
      <c r="G213" s="3">
        <v>0</v>
      </c>
      <c r="H213" s="3">
        <f>168740+90000.36+1652</f>
        <v>260392.36</v>
      </c>
      <c r="I213" s="3">
        <v>3450</v>
      </c>
      <c r="J213" s="3">
        <v>173307.09</v>
      </c>
      <c r="K213" s="3">
        <v>1384116.4</v>
      </c>
      <c r="L213" s="3">
        <v>66218</v>
      </c>
      <c r="M213" s="3">
        <v>1386984.98</v>
      </c>
      <c r="N213" s="3">
        <v>250715.07</v>
      </c>
      <c r="O213" s="3">
        <v>286315.2</v>
      </c>
      <c r="P213" s="3">
        <v>0</v>
      </c>
      <c r="Q213" s="3">
        <v>0</v>
      </c>
      <c r="R213" s="3">
        <v>0</v>
      </c>
      <c r="S213" s="54">
        <v>2</v>
      </c>
      <c r="T213" s="55">
        <v>3</v>
      </c>
      <c r="U213" s="55">
        <v>3</v>
      </c>
    </row>
    <row r="214" spans="1:36" x14ac:dyDescent="0.25">
      <c r="A214" s="7" t="s">
        <v>132</v>
      </c>
      <c r="C214" s="3">
        <f t="shared" si="46"/>
        <v>4899803.0999999996</v>
      </c>
      <c r="E214" s="3">
        <v>4855466.82</v>
      </c>
      <c r="G214" s="3">
        <v>3222356.58</v>
      </c>
      <c r="H214" s="3">
        <v>18531024.68</v>
      </c>
      <c r="I214" s="3">
        <v>6841963.4299999997</v>
      </c>
      <c r="J214" s="3">
        <v>3377282.35</v>
      </c>
      <c r="K214" s="3">
        <v>7045424.75</v>
      </c>
      <c r="L214" s="3">
        <v>4382290.22</v>
      </c>
      <c r="M214" s="3">
        <v>6762569.9000000004</v>
      </c>
      <c r="N214" s="3">
        <v>7422913.3399999999</v>
      </c>
      <c r="O214" s="3">
        <v>4899803.0999999996</v>
      </c>
      <c r="P214" s="3">
        <v>0</v>
      </c>
      <c r="Q214" s="3">
        <v>0</v>
      </c>
      <c r="R214" s="3">
        <v>0</v>
      </c>
      <c r="S214" s="54">
        <v>2</v>
      </c>
      <c r="T214" s="55">
        <v>3</v>
      </c>
      <c r="U214" s="55">
        <v>4</v>
      </c>
    </row>
    <row r="215" spans="1:36" ht="30" x14ac:dyDescent="0.25">
      <c r="A215" s="7" t="s">
        <v>133</v>
      </c>
      <c r="C215" s="3">
        <f t="shared" si="46"/>
        <v>515225.06</v>
      </c>
      <c r="E215" s="3">
        <v>19109.759999999998</v>
      </c>
      <c r="G215" s="3">
        <v>0</v>
      </c>
      <c r="H215" s="3">
        <v>780852</v>
      </c>
      <c r="I215" s="3">
        <v>1530</v>
      </c>
      <c r="J215" s="3">
        <v>885409.02</v>
      </c>
      <c r="K215" s="3">
        <v>59400</v>
      </c>
      <c r="L215" s="3">
        <v>182650</v>
      </c>
      <c r="M215" s="3">
        <v>30118</v>
      </c>
      <c r="N215" s="3">
        <v>8090</v>
      </c>
      <c r="O215" s="3">
        <v>515225.06</v>
      </c>
      <c r="P215" s="3">
        <v>0</v>
      </c>
      <c r="Q215" s="3">
        <v>0</v>
      </c>
      <c r="R215" s="3">
        <v>0</v>
      </c>
      <c r="S215" s="54">
        <v>2</v>
      </c>
      <c r="T215" s="55">
        <v>3</v>
      </c>
      <c r="U215" s="55">
        <v>5</v>
      </c>
    </row>
    <row r="216" spans="1:36" ht="30" x14ac:dyDescent="0.25">
      <c r="A216" s="7" t="s">
        <v>134</v>
      </c>
      <c r="C216" s="3">
        <f t="shared" si="46"/>
        <v>12169.86</v>
      </c>
      <c r="E216" s="3">
        <v>0</v>
      </c>
      <c r="G216" s="3">
        <v>0</v>
      </c>
      <c r="H216" s="3">
        <v>0</v>
      </c>
      <c r="I216" s="3">
        <v>5083.1400000000003</v>
      </c>
      <c r="J216" s="3">
        <v>13923.11</v>
      </c>
      <c r="K216" s="3">
        <v>37296.26</v>
      </c>
      <c r="L216" s="3">
        <v>4300</v>
      </c>
      <c r="M216" s="3">
        <v>139202.01</v>
      </c>
      <c r="N216" s="3">
        <v>10750</v>
      </c>
      <c r="O216" s="3">
        <v>12169.86</v>
      </c>
      <c r="P216" s="3">
        <v>0</v>
      </c>
      <c r="Q216" s="3">
        <v>0</v>
      </c>
      <c r="R216" s="3">
        <v>0</v>
      </c>
      <c r="S216" s="54">
        <v>2</v>
      </c>
      <c r="T216" s="55">
        <v>3</v>
      </c>
      <c r="U216" s="55">
        <v>6</v>
      </c>
    </row>
    <row r="217" spans="1:36" x14ac:dyDescent="0.25">
      <c r="A217" s="7" t="s">
        <v>135</v>
      </c>
      <c r="C217" s="3">
        <f t="shared" si="46"/>
        <v>500</v>
      </c>
      <c r="E217" s="3">
        <v>1909357.48</v>
      </c>
      <c r="G217" s="3">
        <v>0</v>
      </c>
      <c r="H217" s="3">
        <v>0</v>
      </c>
      <c r="I217" s="3">
        <v>14035</v>
      </c>
      <c r="J217" s="3">
        <v>450</v>
      </c>
      <c r="K217" s="3">
        <v>1305394.6000000001</v>
      </c>
      <c r="L217" s="3">
        <v>404121.52</v>
      </c>
      <c r="M217" s="3">
        <v>188345</v>
      </c>
      <c r="N217" s="3">
        <v>1018748</v>
      </c>
      <c r="O217" s="3">
        <v>500</v>
      </c>
      <c r="P217" s="3">
        <v>0</v>
      </c>
      <c r="Q217" s="3">
        <v>0</v>
      </c>
      <c r="R217" s="3">
        <v>0</v>
      </c>
      <c r="S217" s="54">
        <v>2</v>
      </c>
      <c r="T217" s="55">
        <v>3</v>
      </c>
      <c r="U217" s="55">
        <v>7</v>
      </c>
      <c r="V217" s="55">
        <v>1</v>
      </c>
    </row>
    <row r="218" spans="1:36" x14ac:dyDescent="0.25">
      <c r="A218" s="7" t="s">
        <v>136</v>
      </c>
      <c r="C218" s="3">
        <f t="shared" si="46"/>
        <v>4365905.03</v>
      </c>
      <c r="E218" s="3">
        <v>0</v>
      </c>
      <c r="G218" s="3">
        <v>2523500.34</v>
      </c>
      <c r="H218" s="3">
        <f>3107580.2+2000</f>
        <v>3109580.2</v>
      </c>
      <c r="I218" s="3">
        <v>2341353.35</v>
      </c>
      <c r="J218" s="3">
        <v>186428.5</v>
      </c>
      <c r="K218" s="3">
        <v>2670709.48</v>
      </c>
      <c r="L218" s="3">
        <v>15161294.67</v>
      </c>
      <c r="M218" s="3">
        <v>7906802.21</v>
      </c>
      <c r="N218" s="3">
        <v>15880268.439999999</v>
      </c>
      <c r="O218" s="3">
        <v>4365905.03</v>
      </c>
      <c r="P218" s="3">
        <v>0</v>
      </c>
      <c r="Q218" s="3">
        <v>0</v>
      </c>
      <c r="R218" s="3">
        <v>0</v>
      </c>
      <c r="S218" s="54">
        <v>2</v>
      </c>
      <c r="T218" s="55">
        <v>3</v>
      </c>
      <c r="U218" s="55">
        <v>7</v>
      </c>
      <c r="V218" s="55">
        <v>2</v>
      </c>
    </row>
    <row r="219" spans="1:36" s="6" customFormat="1" x14ac:dyDescent="0.25">
      <c r="A219" s="7" t="s">
        <v>137</v>
      </c>
      <c r="B219" s="1"/>
      <c r="C219" s="3">
        <f t="shared" si="46"/>
        <v>34360684.229999997</v>
      </c>
      <c r="D219" s="1"/>
      <c r="E219" s="3">
        <f>6060180.94</f>
        <v>6060180.9400000004</v>
      </c>
      <c r="F219" s="1"/>
      <c r="G219" s="3">
        <v>4893365.0599999996</v>
      </c>
      <c r="H219" s="3">
        <v>19889141.030000001</v>
      </c>
      <c r="I219" s="3">
        <v>16511789.960000001</v>
      </c>
      <c r="J219" s="3">
        <v>15011647.66</v>
      </c>
      <c r="K219" s="3">
        <v>16977359.559999999</v>
      </c>
      <c r="L219" s="3">
        <v>14719168.880000001</v>
      </c>
      <c r="M219" s="3">
        <v>25294652.629999999</v>
      </c>
      <c r="N219" s="3">
        <v>14782380.640000001</v>
      </c>
      <c r="O219" s="3">
        <v>34360684.229999997</v>
      </c>
      <c r="P219" s="3">
        <v>0</v>
      </c>
      <c r="Q219" s="3">
        <v>0</v>
      </c>
      <c r="R219" s="3">
        <v>0</v>
      </c>
      <c r="S219" s="54">
        <v>2</v>
      </c>
      <c r="T219" s="55">
        <v>3</v>
      </c>
      <c r="U219" s="55">
        <v>9</v>
      </c>
      <c r="V219" s="55">
        <v>3</v>
      </c>
      <c r="W219" s="55" t="s">
        <v>179</v>
      </c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1:36" x14ac:dyDescent="0.25">
      <c r="A220" s="7" t="s">
        <v>138</v>
      </c>
      <c r="C220" s="3">
        <f t="shared" si="46"/>
        <v>3335092.34</v>
      </c>
      <c r="E220" s="3">
        <v>0</v>
      </c>
      <c r="G220" s="3">
        <v>0</v>
      </c>
      <c r="H220" s="3">
        <f>858978+715922.1+1284816.7+91782.07</f>
        <v>2951498.8699999996</v>
      </c>
      <c r="I220" s="3">
        <f>17519859.01-16511789.96</f>
        <v>1008069.0500000007</v>
      </c>
      <c r="J220" s="3">
        <v>273962.3</v>
      </c>
      <c r="K220" s="3">
        <v>3422679.2</v>
      </c>
      <c r="L220" s="3">
        <v>735457.33</v>
      </c>
      <c r="M220" s="3">
        <v>4942993.5199999996</v>
      </c>
      <c r="N220" s="3">
        <v>1021596.02</v>
      </c>
      <c r="O220" s="3">
        <v>3335092.34</v>
      </c>
      <c r="P220" s="3">
        <v>0</v>
      </c>
      <c r="Q220" s="3">
        <v>0</v>
      </c>
      <c r="R220" s="3">
        <v>0</v>
      </c>
      <c r="S220" s="54">
        <v>2</v>
      </c>
      <c r="T220" s="55">
        <v>3</v>
      </c>
      <c r="U220" s="55">
        <v>9</v>
      </c>
    </row>
    <row r="221" spans="1:36" ht="15.75" thickBot="1" x14ac:dyDescent="0.3">
      <c r="A221" s="2" t="s">
        <v>139</v>
      </c>
      <c r="B221" s="6"/>
      <c r="C221" s="9">
        <f>SUM(C211:C220)</f>
        <v>48404161.569999993</v>
      </c>
      <c r="D221" s="6"/>
      <c r="E221" s="9">
        <f>SUM(E211:E220)</f>
        <v>13727364.030000001</v>
      </c>
      <c r="F221" s="6"/>
      <c r="G221" s="9">
        <f t="shared" ref="G221:R221" si="47">SUM(G211:G220)</f>
        <v>11359379.41</v>
      </c>
      <c r="H221" s="9">
        <f t="shared" si="47"/>
        <v>46228413.759999998</v>
      </c>
      <c r="I221" s="9">
        <f t="shared" si="47"/>
        <v>27361438.550000001</v>
      </c>
      <c r="J221" s="9">
        <f t="shared" si="47"/>
        <v>20523367.900000002</v>
      </c>
      <c r="K221" s="9">
        <f t="shared" si="47"/>
        <v>35644853.5</v>
      </c>
      <c r="L221" s="9">
        <f t="shared" si="47"/>
        <v>36388757.619999997</v>
      </c>
      <c r="M221" s="9">
        <f t="shared" si="47"/>
        <v>47469095.75</v>
      </c>
      <c r="N221" s="9">
        <f t="shared" si="47"/>
        <v>41253682.450000003</v>
      </c>
      <c r="O221" s="9">
        <f t="shared" si="47"/>
        <v>48404161.569999993</v>
      </c>
      <c r="P221" s="9">
        <f t="shared" si="47"/>
        <v>0</v>
      </c>
      <c r="Q221" s="9">
        <f t="shared" si="47"/>
        <v>0</v>
      </c>
      <c r="R221" s="9">
        <f t="shared" si="47"/>
        <v>0</v>
      </c>
      <c r="S221" s="5"/>
      <c r="T221" s="56"/>
      <c r="U221" s="56"/>
      <c r="V221" s="56"/>
      <c r="W221" s="56"/>
    </row>
    <row r="222" spans="1:36" ht="15.75" thickTop="1" x14ac:dyDescent="0.25">
      <c r="C222" s="3">
        <f>+C221-E221</f>
        <v>34676797.539999992</v>
      </c>
      <c r="R222" s="3" t="s">
        <v>235</v>
      </c>
    </row>
    <row r="223" spans="1:36" x14ac:dyDescent="0.25">
      <c r="C223" s="57">
        <f>+C222/E221</f>
        <v>2.526107522479681</v>
      </c>
      <c r="E223" s="3">
        <v>111459261.81999999</v>
      </c>
      <c r="N223" s="3" t="s">
        <v>235</v>
      </c>
      <c r="R223" s="3">
        <f>R221-24050653.64</f>
        <v>-24050653.640000001</v>
      </c>
    </row>
    <row r="224" spans="1:36" x14ac:dyDescent="0.25">
      <c r="A224" s="35" t="s">
        <v>140</v>
      </c>
      <c r="B224" s="36"/>
      <c r="C224" s="37"/>
      <c r="D224" s="36"/>
      <c r="E224" s="37">
        <f>E221-E223</f>
        <v>-97731897.789999992</v>
      </c>
      <c r="F224" s="36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</row>
    <row r="225" spans="1:36" x14ac:dyDescent="0.25">
      <c r="A225" s="2"/>
    </row>
    <row r="226" spans="1:36" x14ac:dyDescent="0.25">
      <c r="A226" s="4" t="s">
        <v>10</v>
      </c>
      <c r="C226" s="5" t="s">
        <v>268</v>
      </c>
      <c r="D226" s="6"/>
      <c r="E226" s="5" t="s">
        <v>269</v>
      </c>
      <c r="G226" s="40" t="s">
        <v>170</v>
      </c>
      <c r="H226" s="40" t="s">
        <v>171</v>
      </c>
      <c r="I226" s="40" t="s">
        <v>172</v>
      </c>
      <c r="J226" s="40" t="s">
        <v>173</v>
      </c>
      <c r="K226" s="40" t="s">
        <v>174</v>
      </c>
      <c r="L226" s="40" t="s">
        <v>175</v>
      </c>
      <c r="M226" s="40" t="s">
        <v>224</v>
      </c>
      <c r="N226" s="40" t="s">
        <v>225</v>
      </c>
      <c r="O226" s="40" t="s">
        <v>249</v>
      </c>
      <c r="P226" s="40" t="s">
        <v>250</v>
      </c>
      <c r="Q226" s="40" t="s">
        <v>251</v>
      </c>
      <c r="R226" s="40" t="s">
        <v>252</v>
      </c>
    </row>
    <row r="227" spans="1:36" x14ac:dyDescent="0.25">
      <c r="A227" s="98" t="s">
        <v>141</v>
      </c>
      <c r="C227" s="3">
        <f>O227</f>
        <v>18651.419999999998</v>
      </c>
      <c r="E227" s="3">
        <v>195719.85</v>
      </c>
      <c r="G227" s="3">
        <v>34660.85</v>
      </c>
      <c r="H227" s="3">
        <v>26034.37</v>
      </c>
      <c r="I227" s="3">
        <v>26034.37</v>
      </c>
      <c r="J227" s="3">
        <v>16306.85</v>
      </c>
      <c r="K227" s="3">
        <v>16306.85</v>
      </c>
      <c r="L227" s="3">
        <v>16306.85</v>
      </c>
      <c r="M227" s="3">
        <f>16306.85+474.6+306.37+1047.68+515.92</f>
        <v>18651.419999999998</v>
      </c>
      <c r="N227" s="3">
        <f>16306.85+474.6+306.37+1047.68+515.92</f>
        <v>18651.419999999998</v>
      </c>
      <c r="O227" s="3">
        <f>16306.85+474.6+306.37+1047.68+515.92</f>
        <v>18651.419999999998</v>
      </c>
      <c r="P227" s="3">
        <v>0</v>
      </c>
      <c r="Q227" s="3">
        <v>0</v>
      </c>
      <c r="R227" s="3">
        <v>0</v>
      </c>
    </row>
    <row r="228" spans="1:36" x14ac:dyDescent="0.25">
      <c r="A228" s="98" t="s">
        <v>142</v>
      </c>
      <c r="C228" s="3">
        <f t="shared" ref="C228:C231" si="48">O228</f>
        <v>164344.35</v>
      </c>
      <c r="E228" s="3">
        <v>988268.57</v>
      </c>
      <c r="G228" s="3">
        <v>163401.13</v>
      </c>
      <c r="H228" s="3">
        <v>122733.44</v>
      </c>
      <c r="I228" s="3">
        <v>122733.44</v>
      </c>
      <c r="J228" s="3">
        <v>82339.38</v>
      </c>
      <c r="K228" s="3">
        <v>82339.38</v>
      </c>
      <c r="L228" s="3">
        <v>82339.38</v>
      </c>
      <c r="M228" s="3">
        <f>82339.38+77885.15+4119.82</f>
        <v>164344.35</v>
      </c>
      <c r="N228" s="3">
        <f>82339.38+77885.15+4119.82</f>
        <v>164344.35</v>
      </c>
      <c r="O228" s="3">
        <f>82339.38+77885.15+4119.82</f>
        <v>164344.35</v>
      </c>
      <c r="P228" s="3">
        <v>0</v>
      </c>
      <c r="Q228" s="3">
        <v>0</v>
      </c>
      <c r="R228" s="3">
        <v>0</v>
      </c>
    </row>
    <row r="229" spans="1:36" x14ac:dyDescent="0.25">
      <c r="A229" s="98" t="s">
        <v>143</v>
      </c>
      <c r="C229" s="3">
        <f t="shared" si="48"/>
        <v>3233.48</v>
      </c>
      <c r="E229" s="3">
        <v>38809.22</v>
      </c>
      <c r="G229" s="3">
        <v>6468.2</v>
      </c>
      <c r="H229" s="3">
        <v>4858.38</v>
      </c>
      <c r="I229" s="3">
        <v>4858.38</v>
      </c>
      <c r="J229" s="3">
        <v>3233.48</v>
      </c>
      <c r="K229" s="3">
        <v>3233.48</v>
      </c>
      <c r="L229" s="3">
        <v>3233.48</v>
      </c>
      <c r="M229" s="3">
        <v>3233.48</v>
      </c>
      <c r="N229" s="3">
        <v>3233.48</v>
      </c>
      <c r="O229" s="3">
        <v>3233.48</v>
      </c>
      <c r="P229" s="3">
        <v>0</v>
      </c>
      <c r="Q229" s="3">
        <v>0</v>
      </c>
      <c r="R229" s="3">
        <v>0</v>
      </c>
    </row>
    <row r="230" spans="1:36" s="6" customFormat="1" x14ac:dyDescent="0.25">
      <c r="A230" s="98" t="s">
        <v>144</v>
      </c>
      <c r="B230" s="1"/>
      <c r="C230" s="3">
        <f t="shared" si="48"/>
        <v>168624.26</v>
      </c>
      <c r="D230" s="1"/>
      <c r="E230" s="3">
        <v>1786941.29</v>
      </c>
      <c r="F230" s="1"/>
      <c r="G230" s="3">
        <v>297092.96999999997</v>
      </c>
      <c r="H230" s="3">
        <v>223151.71</v>
      </c>
      <c r="I230" s="3">
        <v>223151.71</v>
      </c>
      <c r="J230" s="3">
        <v>148883.14000000001</v>
      </c>
      <c r="K230" s="3">
        <v>148883.14000000001</v>
      </c>
      <c r="L230" s="3">
        <v>148883.14000000001</v>
      </c>
      <c r="M230" s="3">
        <f>148883.14+18241.12+1500</f>
        <v>168624.26</v>
      </c>
      <c r="N230" s="3">
        <f>148883.14+18241.12+1500</f>
        <v>168624.26</v>
      </c>
      <c r="O230" s="3">
        <f>148883.14+18241.12+1500</f>
        <v>168624.26</v>
      </c>
      <c r="P230" s="3">
        <v>0</v>
      </c>
      <c r="Q230" s="3">
        <v>0</v>
      </c>
      <c r="R230" s="3">
        <v>0</v>
      </c>
      <c r="S230" s="54"/>
      <c r="T230" s="55"/>
      <c r="U230" s="55"/>
      <c r="V230" s="55"/>
      <c r="W230" s="55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spans="1:36" x14ac:dyDescent="0.25">
      <c r="A231" s="98" t="s">
        <v>145</v>
      </c>
      <c r="C231" s="3">
        <f t="shared" si="48"/>
        <v>1000930.8200000001</v>
      </c>
      <c r="E231" s="3">
        <v>11827818.73</v>
      </c>
      <c r="G231" s="3">
        <v>1971303.12</v>
      </c>
      <c r="H231" s="3">
        <v>1480680.14</v>
      </c>
      <c r="I231" s="3">
        <v>1480680.14</v>
      </c>
      <c r="J231" s="3">
        <v>985462.06</v>
      </c>
      <c r="K231" s="3">
        <v>985462.06</v>
      </c>
      <c r="L231" s="3">
        <v>985462.06</v>
      </c>
      <c r="M231" s="3">
        <f>985462.06+5850+9618.76</f>
        <v>1000930.8200000001</v>
      </c>
      <c r="N231" s="3">
        <f>985462.06+5850+9618.76</f>
        <v>1000930.8200000001</v>
      </c>
      <c r="O231" s="3">
        <f>985462.06+5850+9618.76</f>
        <v>1000930.8200000001</v>
      </c>
      <c r="P231" s="3">
        <v>0</v>
      </c>
      <c r="Q231" s="3">
        <v>0</v>
      </c>
      <c r="R231" s="3">
        <v>0</v>
      </c>
    </row>
    <row r="232" spans="1:36" ht="15.75" thickBot="1" x14ac:dyDescent="0.3">
      <c r="A232" s="99" t="s">
        <v>146</v>
      </c>
      <c r="B232" s="6"/>
      <c r="C232" s="9">
        <f>SUM(C227:C231)</f>
        <v>1355784.33</v>
      </c>
      <c r="D232" s="6"/>
      <c r="E232" s="9">
        <f>SUM(E227:E231)</f>
        <v>14837557.66</v>
      </c>
      <c r="F232" s="6"/>
      <c r="G232" s="9">
        <f t="shared" ref="G232:R232" si="49">SUM(G227:G231)</f>
        <v>2472926.27</v>
      </c>
      <c r="H232" s="9">
        <f>SUM(H227:H231)</f>
        <v>1857458.04</v>
      </c>
      <c r="I232" s="9">
        <f>SUM(I227:I231)</f>
        <v>1857458.04</v>
      </c>
      <c r="J232" s="9">
        <f t="shared" si="49"/>
        <v>1236224.9100000001</v>
      </c>
      <c r="K232" s="9">
        <f t="shared" si="49"/>
        <v>1236224.9100000001</v>
      </c>
      <c r="L232" s="9">
        <f t="shared" si="49"/>
        <v>1236224.9100000001</v>
      </c>
      <c r="M232" s="9">
        <f t="shared" si="49"/>
        <v>1355784.33</v>
      </c>
      <c r="N232" s="9">
        <f t="shared" si="49"/>
        <v>1355784.33</v>
      </c>
      <c r="O232" s="9">
        <f t="shared" si="49"/>
        <v>1355784.33</v>
      </c>
      <c r="P232" s="9">
        <f t="shared" si="49"/>
        <v>0</v>
      </c>
      <c r="Q232" s="9">
        <f t="shared" si="49"/>
        <v>0</v>
      </c>
      <c r="R232" s="9">
        <f t="shared" si="49"/>
        <v>0</v>
      </c>
      <c r="S232" s="5"/>
      <c r="T232" s="56"/>
      <c r="U232" s="56"/>
      <c r="V232" s="56"/>
      <c r="W232" s="56"/>
    </row>
    <row r="233" spans="1:36" ht="15.75" thickTop="1" x14ac:dyDescent="0.25">
      <c r="C233" s="3">
        <f>+C232-E232</f>
        <v>-13481773.33</v>
      </c>
    </row>
    <row r="234" spans="1:36" x14ac:dyDescent="0.25">
      <c r="C234" s="57">
        <f>+C233/E232</f>
        <v>-0.9086248315883545</v>
      </c>
    </row>
    <row r="235" spans="1:36" x14ac:dyDescent="0.25">
      <c r="A235" s="35" t="s">
        <v>161</v>
      </c>
      <c r="B235" s="36"/>
      <c r="C235" s="37"/>
      <c r="D235" s="36"/>
      <c r="E235" s="37"/>
      <c r="F235" s="36"/>
      <c r="G235" s="37"/>
      <c r="H235" s="37"/>
      <c r="I235" s="37"/>
      <c r="J235" s="37"/>
      <c r="K235" s="37"/>
      <c r="L235" s="37"/>
      <c r="M235" s="37">
        <f>M234-M232</f>
        <v>-1355784.33</v>
      </c>
      <c r="N235" s="37"/>
      <c r="O235" s="37"/>
      <c r="P235" s="37"/>
      <c r="Q235" s="37"/>
      <c r="R235" s="37"/>
    </row>
    <row r="237" spans="1:36" x14ac:dyDescent="0.25">
      <c r="A237" s="4" t="s">
        <v>10</v>
      </c>
      <c r="C237" s="5" t="s">
        <v>268</v>
      </c>
      <c r="D237" s="6"/>
      <c r="E237" s="5" t="s">
        <v>269</v>
      </c>
      <c r="F237" s="1" t="s">
        <v>235</v>
      </c>
      <c r="G237" s="40" t="s">
        <v>170</v>
      </c>
      <c r="H237" s="40" t="s">
        <v>171</v>
      </c>
      <c r="I237" s="40" t="s">
        <v>172</v>
      </c>
      <c r="J237" s="40" t="s">
        <v>173</v>
      </c>
      <c r="K237" s="40" t="s">
        <v>174</v>
      </c>
      <c r="L237" s="40" t="s">
        <v>175</v>
      </c>
      <c r="M237" s="40" t="s">
        <v>224</v>
      </c>
      <c r="N237" s="40" t="s">
        <v>225</v>
      </c>
      <c r="O237" s="40" t="s">
        <v>249</v>
      </c>
      <c r="P237" s="40" t="s">
        <v>250</v>
      </c>
      <c r="Q237" s="40" t="s">
        <v>251</v>
      </c>
      <c r="R237" s="40" t="s">
        <v>252</v>
      </c>
    </row>
    <row r="238" spans="1:36" x14ac:dyDescent="0.25">
      <c r="A238" s="7" t="s">
        <v>162</v>
      </c>
      <c r="C238" s="3">
        <f>O238</f>
        <v>166178.06</v>
      </c>
      <c r="E238" s="3">
        <v>558171.1</v>
      </c>
      <c r="G238" s="3">
        <v>0</v>
      </c>
      <c r="H238" s="3">
        <v>0</v>
      </c>
      <c r="I238" s="3">
        <v>2668277.1</v>
      </c>
      <c r="J238" s="3">
        <v>1564500</v>
      </c>
      <c r="K238" s="3">
        <v>1419852</v>
      </c>
      <c r="L238" s="3">
        <v>1233150.94</v>
      </c>
      <c r="M238" s="3">
        <v>331500.52</v>
      </c>
      <c r="N238" s="3">
        <v>1884723.73</v>
      </c>
      <c r="O238" s="3">
        <v>166178.06</v>
      </c>
      <c r="P238" s="3">
        <v>0</v>
      </c>
      <c r="Q238" s="3">
        <v>0</v>
      </c>
      <c r="R238" s="3">
        <v>0</v>
      </c>
      <c r="S238" s="54">
        <v>2</v>
      </c>
      <c r="T238" s="55">
        <v>2</v>
      </c>
      <c r="U238" s="55">
        <v>1</v>
      </c>
    </row>
    <row r="239" spans="1:36" ht="30" x14ac:dyDescent="0.25">
      <c r="A239" s="7" t="s">
        <v>163</v>
      </c>
      <c r="C239" s="3">
        <f t="shared" ref="C239:C246" si="50">O239</f>
        <v>0</v>
      </c>
      <c r="E239" s="34">
        <v>0</v>
      </c>
      <c r="G239" s="34">
        <v>0</v>
      </c>
      <c r="H239" s="34">
        <v>0</v>
      </c>
      <c r="I239" s="34">
        <v>0</v>
      </c>
      <c r="J239" s="34">
        <v>0</v>
      </c>
      <c r="K239" s="51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54">
        <v>2</v>
      </c>
      <c r="T239" s="55">
        <v>2</v>
      </c>
      <c r="U239" s="55">
        <v>2</v>
      </c>
    </row>
    <row r="240" spans="1:36" x14ac:dyDescent="0.25">
      <c r="A240" s="7" t="s">
        <v>164</v>
      </c>
      <c r="C240" s="3">
        <f t="shared" si="50"/>
        <v>0</v>
      </c>
      <c r="E240" s="34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54">
        <v>2</v>
      </c>
      <c r="T240" s="55">
        <v>2</v>
      </c>
      <c r="U240" s="55">
        <v>3</v>
      </c>
    </row>
    <row r="241" spans="1:36" x14ac:dyDescent="0.25">
      <c r="A241" s="7" t="s">
        <v>165</v>
      </c>
      <c r="C241" s="3">
        <f t="shared" si="50"/>
        <v>1210</v>
      </c>
      <c r="E241" s="3">
        <v>0</v>
      </c>
      <c r="G241" s="3">
        <v>0</v>
      </c>
      <c r="H241" s="3">
        <v>4547.51</v>
      </c>
      <c r="I241" s="3">
        <v>16612.82</v>
      </c>
      <c r="J241" s="3">
        <v>0</v>
      </c>
      <c r="K241" s="3">
        <v>150000</v>
      </c>
      <c r="L241" s="3">
        <v>0</v>
      </c>
      <c r="M241" s="3">
        <v>0</v>
      </c>
      <c r="N241" s="3">
        <v>1100</v>
      </c>
      <c r="O241" s="3">
        <v>1210</v>
      </c>
      <c r="P241" s="3">
        <v>0</v>
      </c>
      <c r="Q241" s="3">
        <v>0</v>
      </c>
      <c r="R241" s="3">
        <v>0</v>
      </c>
      <c r="S241" s="54">
        <v>2</v>
      </c>
      <c r="T241" s="55">
        <v>2</v>
      </c>
      <c r="U241" s="55">
        <v>4</v>
      </c>
    </row>
    <row r="242" spans="1:36" x14ac:dyDescent="0.25">
      <c r="A242" s="7" t="s">
        <v>166</v>
      </c>
      <c r="C242" s="3">
        <f t="shared" si="50"/>
        <v>2500</v>
      </c>
      <c r="E242" s="3">
        <v>0</v>
      </c>
      <c r="G242" s="34">
        <v>0</v>
      </c>
      <c r="H242" s="34">
        <v>0</v>
      </c>
      <c r="I242" s="51">
        <v>33200</v>
      </c>
      <c r="J242" s="51">
        <v>2500</v>
      </c>
      <c r="K242" s="51">
        <v>0</v>
      </c>
      <c r="L242" s="51">
        <v>2664344.54</v>
      </c>
      <c r="M242" s="51">
        <v>4159.34</v>
      </c>
      <c r="N242" s="51">
        <v>40980</v>
      </c>
      <c r="O242" s="51">
        <v>2500</v>
      </c>
      <c r="P242" s="34">
        <v>0</v>
      </c>
      <c r="Q242" s="34">
        <v>0</v>
      </c>
      <c r="R242" s="34">
        <v>0</v>
      </c>
      <c r="S242" s="54">
        <v>2</v>
      </c>
      <c r="T242" s="55">
        <v>2</v>
      </c>
      <c r="U242" s="55">
        <v>5</v>
      </c>
    </row>
    <row r="243" spans="1:36" s="6" customFormat="1" x14ac:dyDescent="0.25">
      <c r="A243" s="7" t="s">
        <v>254</v>
      </c>
      <c r="B243" s="1"/>
      <c r="C243" s="3">
        <f t="shared" si="50"/>
        <v>359076</v>
      </c>
      <c r="D243" s="1"/>
      <c r="E243" s="3">
        <v>0</v>
      </c>
      <c r="F243" s="1"/>
      <c r="G243" s="34">
        <v>0</v>
      </c>
      <c r="H243" s="51">
        <f>324800+862442.65</f>
        <v>1187242.6499999999</v>
      </c>
      <c r="I243" s="51">
        <v>198975.04</v>
      </c>
      <c r="J243" s="51">
        <v>239196.36</v>
      </c>
      <c r="K243" s="51">
        <v>351222.56</v>
      </c>
      <c r="L243" s="51">
        <v>335135.63</v>
      </c>
      <c r="M243" s="51">
        <v>150768</v>
      </c>
      <c r="N243" s="51">
        <v>534499.16</v>
      </c>
      <c r="O243" s="51">
        <v>359076</v>
      </c>
      <c r="P243" s="34">
        <v>0</v>
      </c>
      <c r="Q243" s="34">
        <v>0</v>
      </c>
      <c r="R243" s="34">
        <v>0</v>
      </c>
      <c r="S243" s="54"/>
      <c r="T243" s="55"/>
      <c r="U243" s="55"/>
      <c r="V243" s="55"/>
      <c r="W243" s="55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</row>
    <row r="244" spans="1:36" ht="30" x14ac:dyDescent="0.25">
      <c r="A244" s="7" t="s">
        <v>167</v>
      </c>
      <c r="C244" s="3">
        <f t="shared" si="50"/>
        <v>186300.96</v>
      </c>
      <c r="E244" s="3">
        <v>26314</v>
      </c>
      <c r="G244" s="3">
        <v>0</v>
      </c>
      <c r="H244" s="3">
        <f>76004+24148.2</f>
        <v>100152.2</v>
      </c>
      <c r="I244" s="3">
        <v>26657004.84</v>
      </c>
      <c r="J244" s="3">
        <v>8142</v>
      </c>
      <c r="K244" s="3">
        <v>330370.05</v>
      </c>
      <c r="L244" s="3">
        <v>466115.2</v>
      </c>
      <c r="M244" s="3">
        <v>2528755.92</v>
      </c>
      <c r="N244" s="3">
        <v>763682.04</v>
      </c>
      <c r="O244" s="3">
        <v>186300.96</v>
      </c>
      <c r="P244" s="3">
        <v>0</v>
      </c>
      <c r="Q244" s="3">
        <v>0</v>
      </c>
      <c r="R244" s="3">
        <v>0</v>
      </c>
      <c r="S244" s="54">
        <v>2</v>
      </c>
      <c r="T244" s="55">
        <v>2</v>
      </c>
      <c r="U244" s="55">
        <v>7</v>
      </c>
    </row>
    <row r="245" spans="1:36" x14ac:dyDescent="0.25">
      <c r="A245" s="7" t="s">
        <v>168</v>
      </c>
      <c r="C245" s="3">
        <f t="shared" si="50"/>
        <v>3716076.63</v>
      </c>
      <c r="E245" s="3">
        <v>550639.03</v>
      </c>
      <c r="G245" s="3">
        <f>2162.92+35400</f>
        <v>37562.92</v>
      </c>
      <c r="H245" s="3">
        <f>4284.33+46500+5000+1337058.2</f>
        <v>1392842.53</v>
      </c>
      <c r="I245" s="3">
        <v>1687197.84</v>
      </c>
      <c r="J245" s="3">
        <v>632000.75</v>
      </c>
      <c r="K245" s="3">
        <v>969348.05</v>
      </c>
      <c r="L245" s="3">
        <v>1843533.18</v>
      </c>
      <c r="M245" s="3">
        <v>412908.97</v>
      </c>
      <c r="N245" s="3">
        <v>1043934.49</v>
      </c>
      <c r="O245" s="3">
        <v>3716076.63</v>
      </c>
      <c r="P245" s="3">
        <v>0</v>
      </c>
      <c r="Q245" s="3">
        <v>0</v>
      </c>
      <c r="R245" s="3">
        <v>0</v>
      </c>
      <c r="S245" s="54">
        <v>2</v>
      </c>
      <c r="T245" s="55">
        <v>2</v>
      </c>
      <c r="U245" s="55">
        <v>8</v>
      </c>
    </row>
    <row r="246" spans="1:36" x14ac:dyDescent="0.25">
      <c r="A246" s="7" t="s">
        <v>380</v>
      </c>
      <c r="C246" s="3">
        <f t="shared" si="50"/>
        <v>1103267.8</v>
      </c>
      <c r="E246" s="3">
        <v>0</v>
      </c>
      <c r="G246" s="3">
        <v>0</v>
      </c>
      <c r="H246" s="3">
        <v>1173151.3999999999</v>
      </c>
      <c r="I246" s="3">
        <v>0</v>
      </c>
      <c r="J246" s="3">
        <v>2370368.66</v>
      </c>
      <c r="K246" s="3">
        <v>728319.6</v>
      </c>
      <c r="L246" s="3">
        <v>802840.3</v>
      </c>
      <c r="M246" s="3">
        <v>773185.55</v>
      </c>
      <c r="N246" s="3">
        <v>1155497.3</v>
      </c>
      <c r="O246" s="3">
        <v>1103267.8</v>
      </c>
    </row>
    <row r="247" spans="1:36" ht="15.75" thickBot="1" x14ac:dyDescent="0.3">
      <c r="A247" s="2" t="s">
        <v>169</v>
      </c>
      <c r="B247" s="6"/>
      <c r="C247" s="9">
        <f>SUM(C238:C246)</f>
        <v>5534609.4500000002</v>
      </c>
      <c r="D247" s="6"/>
      <c r="E247" s="9">
        <f>SUM(E238:E246)</f>
        <v>1135124.1299999999</v>
      </c>
      <c r="F247" s="6"/>
      <c r="G247" s="9">
        <f>SUM(G238:G246)</f>
        <v>37562.92</v>
      </c>
      <c r="H247" s="9">
        <f t="shared" ref="H247:R247" si="51">SUM(H238:H246)</f>
        <v>3857936.2899999996</v>
      </c>
      <c r="I247" s="9">
        <f t="shared" si="51"/>
        <v>31261267.640000001</v>
      </c>
      <c r="J247" s="9">
        <f t="shared" si="51"/>
        <v>4816707.7699999996</v>
      </c>
      <c r="K247" s="9">
        <f t="shared" si="51"/>
        <v>3949112.2600000002</v>
      </c>
      <c r="L247" s="9">
        <f t="shared" si="51"/>
        <v>7345119.79</v>
      </c>
      <c r="M247" s="9">
        <f t="shared" si="51"/>
        <v>4201278.3</v>
      </c>
      <c r="N247" s="9">
        <f t="shared" si="51"/>
        <v>5424416.7199999997</v>
      </c>
      <c r="O247" s="9">
        <f t="shared" si="51"/>
        <v>5534609.4500000002</v>
      </c>
      <c r="P247" s="9">
        <f t="shared" si="51"/>
        <v>0</v>
      </c>
      <c r="Q247" s="9">
        <f t="shared" si="51"/>
        <v>0</v>
      </c>
      <c r="R247" s="9">
        <f t="shared" si="51"/>
        <v>0</v>
      </c>
      <c r="S247" s="5"/>
      <c r="T247" s="56"/>
      <c r="U247" s="56"/>
      <c r="V247" s="56"/>
      <c r="W247" s="56"/>
    </row>
    <row r="248" spans="1:36" ht="15.75" thickTop="1" x14ac:dyDescent="0.25">
      <c r="C248" s="3">
        <f>+C247-E247</f>
        <v>4399485.32</v>
      </c>
    </row>
    <row r="249" spans="1:36" x14ac:dyDescent="0.25">
      <c r="C249" s="57">
        <f>+C248/E247</f>
        <v>3.8757746432542146</v>
      </c>
    </row>
    <row r="251" spans="1:36" x14ac:dyDescent="0.25">
      <c r="K251" s="3" t="s">
        <v>235</v>
      </c>
    </row>
    <row r="254" spans="1:36" x14ac:dyDescent="0.25">
      <c r="L254" s="277"/>
    </row>
    <row r="255" spans="1:36" x14ac:dyDescent="0.25">
      <c r="K255" s="276"/>
    </row>
    <row r="259" spans="11:11" x14ac:dyDescent="0.25">
      <c r="K259" s="278"/>
    </row>
    <row r="262" spans="11:11" x14ac:dyDescent="0.25">
      <c r="K262" s="3" t="s">
        <v>235</v>
      </c>
    </row>
  </sheetData>
  <pageMargins left="0.70866141732283472" right="0.70866141732283472" top="0.74803149606299213" bottom="0.74803149606299213" header="0.31496062992125984" footer="0.31496062992125984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8"/>
  <sheetViews>
    <sheetView topLeftCell="A4" workbookViewId="0">
      <selection activeCell="C12" sqref="C12:G12"/>
    </sheetView>
  </sheetViews>
  <sheetFormatPr baseColWidth="10" defaultRowHeight="15" x14ac:dyDescent="0.25"/>
  <cols>
    <col min="2" max="2" width="5.140625" customWidth="1"/>
    <col min="3" max="3" width="13" customWidth="1"/>
    <col min="4" max="4" width="26.42578125" customWidth="1"/>
    <col min="5" max="5" width="36.5703125" customWidth="1"/>
    <col min="6" max="6" width="43.28515625" customWidth="1"/>
    <col min="7" max="7" width="17.7109375" customWidth="1"/>
    <col min="8" max="8" width="15.42578125" customWidth="1"/>
  </cols>
  <sheetData>
    <row r="4" spans="2:8" ht="21" x14ac:dyDescent="0.35">
      <c r="B4" s="337"/>
      <c r="C4" s="337"/>
      <c r="D4" s="337"/>
      <c r="E4" s="337"/>
      <c r="F4" s="337"/>
      <c r="G4" s="337"/>
      <c r="H4" s="337"/>
    </row>
    <row r="5" spans="2:8" ht="21" x14ac:dyDescent="0.35">
      <c r="B5" s="338" t="s">
        <v>522</v>
      </c>
      <c r="C5" s="338"/>
      <c r="D5" s="338"/>
      <c r="E5" s="338"/>
      <c r="F5" s="338"/>
      <c r="G5" s="338"/>
      <c r="H5" s="338"/>
    </row>
    <row r="6" spans="2:8" ht="15.75" x14ac:dyDescent="0.25">
      <c r="B6" s="339" t="s">
        <v>523</v>
      </c>
      <c r="C6" s="339"/>
      <c r="D6" s="339"/>
      <c r="E6" s="339"/>
      <c r="F6" s="339"/>
      <c r="G6" s="339"/>
      <c r="H6" s="339"/>
    </row>
    <row r="7" spans="2:8" x14ac:dyDescent="0.25">
      <c r="B7" s="340" t="s">
        <v>954</v>
      </c>
      <c r="C7" s="340"/>
      <c r="D7" s="340"/>
      <c r="E7" s="340"/>
      <c r="F7" s="340"/>
      <c r="G7" s="340"/>
      <c r="H7" s="340"/>
    </row>
    <row r="8" spans="2:8" x14ac:dyDescent="0.25">
      <c r="F8" s="20"/>
      <c r="G8" s="20"/>
      <c r="H8" s="20"/>
    </row>
    <row r="9" spans="2:8" x14ac:dyDescent="0.25">
      <c r="B9" s="191"/>
      <c r="C9" s="191"/>
      <c r="D9" s="191"/>
      <c r="E9" s="191"/>
      <c r="F9" s="192"/>
      <c r="G9" s="193"/>
      <c r="H9" s="20"/>
    </row>
    <row r="10" spans="2:8" x14ac:dyDescent="0.25">
      <c r="C10" s="335"/>
      <c r="F10" s="20"/>
      <c r="G10" s="20"/>
      <c r="H10" s="20"/>
    </row>
    <row r="11" spans="2:8" ht="18.75" x14ac:dyDescent="0.25">
      <c r="B11" s="329"/>
      <c r="C11" s="336" t="s">
        <v>955</v>
      </c>
      <c r="D11" s="336"/>
      <c r="E11" s="336"/>
      <c r="F11" s="336"/>
      <c r="G11" s="336"/>
      <c r="H11" s="327"/>
    </row>
    <row r="12" spans="2:8" ht="18.75" x14ac:dyDescent="0.25">
      <c r="B12" s="112"/>
      <c r="C12" s="336" t="s">
        <v>661</v>
      </c>
      <c r="D12" s="336"/>
      <c r="E12" s="336"/>
      <c r="F12" s="336"/>
      <c r="G12" s="336"/>
      <c r="H12" s="224"/>
    </row>
    <row r="13" spans="2:8" x14ac:dyDescent="0.25">
      <c r="B13" s="112"/>
      <c r="C13" s="307"/>
      <c r="D13" s="308"/>
      <c r="E13" s="77"/>
      <c r="F13" s="77"/>
      <c r="G13" s="20"/>
      <c r="H13" s="103"/>
    </row>
    <row r="14" spans="2:8" ht="21" customHeight="1" x14ac:dyDescent="0.25">
      <c r="B14" s="112"/>
      <c r="C14" s="309" t="s">
        <v>662</v>
      </c>
      <c r="D14" s="310"/>
      <c r="E14" s="304"/>
      <c r="F14" s="304"/>
      <c r="G14" s="311"/>
      <c r="H14" s="103"/>
    </row>
    <row r="15" spans="2:8" ht="25.5" customHeight="1" x14ac:dyDescent="0.25">
      <c r="B15" s="112"/>
      <c r="C15" s="331" t="s">
        <v>663</v>
      </c>
      <c r="D15" s="332" t="s">
        <v>664</v>
      </c>
      <c r="E15" s="333" t="s">
        <v>665</v>
      </c>
      <c r="F15" s="333" t="s">
        <v>666</v>
      </c>
      <c r="G15" s="334" t="s">
        <v>667</v>
      </c>
      <c r="H15" s="103"/>
    </row>
    <row r="16" spans="2:8" ht="15.75" x14ac:dyDescent="0.25">
      <c r="B16" s="112"/>
      <c r="C16" s="312">
        <v>44335</v>
      </c>
      <c r="D16" s="313" t="s">
        <v>668</v>
      </c>
      <c r="E16" s="314" t="s">
        <v>669</v>
      </c>
      <c r="F16" s="194" t="s">
        <v>670</v>
      </c>
      <c r="G16" s="315">
        <v>23500</v>
      </c>
      <c r="H16" s="103"/>
    </row>
    <row r="17" spans="2:8" ht="15.75" x14ac:dyDescent="0.25">
      <c r="B17" s="112"/>
      <c r="C17" s="312">
        <v>44372</v>
      </c>
      <c r="D17" s="313" t="s">
        <v>671</v>
      </c>
      <c r="E17" s="314" t="s">
        <v>669</v>
      </c>
      <c r="F17" s="194" t="s">
        <v>670</v>
      </c>
      <c r="G17" s="315">
        <v>200000</v>
      </c>
      <c r="H17" s="103"/>
    </row>
    <row r="18" spans="2:8" ht="15.75" x14ac:dyDescent="0.25">
      <c r="B18" s="112"/>
      <c r="C18" s="312">
        <v>44385</v>
      </c>
      <c r="D18" s="313" t="s">
        <v>672</v>
      </c>
      <c r="E18" s="314" t="s">
        <v>669</v>
      </c>
      <c r="F18" s="194" t="s">
        <v>670</v>
      </c>
      <c r="G18" s="315">
        <v>200000</v>
      </c>
      <c r="H18" s="103"/>
    </row>
    <row r="19" spans="2:8" ht="15.75" x14ac:dyDescent="0.25">
      <c r="B19" s="112"/>
      <c r="C19" s="312">
        <v>44385</v>
      </c>
      <c r="D19" s="313" t="s">
        <v>673</v>
      </c>
      <c r="E19" s="314" t="s">
        <v>669</v>
      </c>
      <c r="F19" s="194" t="s">
        <v>670</v>
      </c>
      <c r="G19" s="315">
        <v>23500</v>
      </c>
      <c r="H19" s="103"/>
    </row>
    <row r="20" spans="2:8" ht="15.75" x14ac:dyDescent="0.25">
      <c r="B20" s="112"/>
      <c r="C20" s="312">
        <v>44431</v>
      </c>
      <c r="D20" s="313" t="s">
        <v>674</v>
      </c>
      <c r="E20" s="314" t="s">
        <v>669</v>
      </c>
      <c r="F20" s="194" t="s">
        <v>670</v>
      </c>
      <c r="G20" s="315">
        <v>23500</v>
      </c>
      <c r="H20" s="103"/>
    </row>
    <row r="21" spans="2:8" ht="15.75" x14ac:dyDescent="0.25">
      <c r="B21" s="112"/>
      <c r="C21" s="312">
        <v>44431</v>
      </c>
      <c r="D21" s="313" t="s">
        <v>675</v>
      </c>
      <c r="E21" s="314" t="s">
        <v>669</v>
      </c>
      <c r="F21" s="194" t="s">
        <v>670</v>
      </c>
      <c r="G21" s="315">
        <v>200000</v>
      </c>
      <c r="H21" s="103"/>
    </row>
    <row r="22" spans="2:8" ht="15.75" x14ac:dyDescent="0.25">
      <c r="B22" s="112"/>
      <c r="C22" s="312">
        <v>44446</v>
      </c>
      <c r="D22" s="313" t="s">
        <v>676</v>
      </c>
      <c r="E22" s="314" t="s">
        <v>669</v>
      </c>
      <c r="F22" s="194" t="s">
        <v>670</v>
      </c>
      <c r="G22" s="315">
        <v>200000</v>
      </c>
      <c r="H22" s="103"/>
    </row>
    <row r="23" spans="2:8" ht="15.75" x14ac:dyDescent="0.25">
      <c r="B23" s="112"/>
      <c r="C23" s="312">
        <v>44446</v>
      </c>
      <c r="D23" s="313" t="s">
        <v>677</v>
      </c>
      <c r="E23" s="314" t="s">
        <v>669</v>
      </c>
      <c r="F23" s="194" t="s">
        <v>670</v>
      </c>
      <c r="G23" s="315">
        <v>23500</v>
      </c>
      <c r="H23" s="103"/>
    </row>
    <row r="24" spans="2:8" ht="15.75" x14ac:dyDescent="0.25">
      <c r="B24" s="112"/>
      <c r="C24" s="316">
        <v>43438</v>
      </c>
      <c r="D24" s="317" t="s">
        <v>678</v>
      </c>
      <c r="E24" s="318" t="s">
        <v>525</v>
      </c>
      <c r="F24" s="195" t="s">
        <v>524</v>
      </c>
      <c r="G24" s="315">
        <v>102109.95</v>
      </c>
      <c r="H24" s="103"/>
    </row>
    <row r="25" spans="2:8" ht="15.75" x14ac:dyDescent="0.25">
      <c r="B25" s="112"/>
      <c r="C25" s="316">
        <v>43678</v>
      </c>
      <c r="D25" s="319" t="s">
        <v>679</v>
      </c>
      <c r="E25" s="318" t="s">
        <v>525</v>
      </c>
      <c r="F25" s="195" t="s">
        <v>524</v>
      </c>
      <c r="G25" s="315">
        <v>59387.51</v>
      </c>
      <c r="H25" s="103"/>
    </row>
    <row r="26" spans="2:8" ht="15.75" x14ac:dyDescent="0.25">
      <c r="B26" s="112"/>
      <c r="C26" s="316">
        <v>43682</v>
      </c>
      <c r="D26" s="317" t="s">
        <v>680</v>
      </c>
      <c r="E26" s="318" t="s">
        <v>525</v>
      </c>
      <c r="F26" s="195" t="s">
        <v>524</v>
      </c>
      <c r="G26" s="315">
        <v>352439.84</v>
      </c>
      <c r="H26" s="103"/>
    </row>
    <row r="27" spans="2:8" ht="15.75" x14ac:dyDescent="0.25">
      <c r="B27" s="112"/>
      <c r="C27" s="316" t="s">
        <v>681</v>
      </c>
      <c r="D27" s="319" t="s">
        <v>682</v>
      </c>
      <c r="E27" s="318" t="s">
        <v>525</v>
      </c>
      <c r="F27" s="195" t="s">
        <v>524</v>
      </c>
      <c r="G27" s="315">
        <v>9618.1200000000008</v>
      </c>
      <c r="H27" s="103"/>
    </row>
    <row r="28" spans="2:8" ht="15.75" x14ac:dyDescent="0.25">
      <c r="B28" s="112"/>
      <c r="C28" s="316" t="s">
        <v>683</v>
      </c>
      <c r="D28" s="319" t="s">
        <v>684</v>
      </c>
      <c r="E28" s="318" t="s">
        <v>525</v>
      </c>
      <c r="F28" s="195" t="s">
        <v>524</v>
      </c>
      <c r="G28" s="315">
        <v>12291.82</v>
      </c>
      <c r="H28" s="103"/>
    </row>
    <row r="29" spans="2:8" ht="15.75" x14ac:dyDescent="0.25">
      <c r="B29" s="112"/>
      <c r="C29" s="320" t="s">
        <v>685</v>
      </c>
      <c r="D29" s="317" t="s">
        <v>686</v>
      </c>
      <c r="E29" s="318" t="s">
        <v>525</v>
      </c>
      <c r="F29" s="195" t="s">
        <v>524</v>
      </c>
      <c r="G29" s="315">
        <v>57706.17</v>
      </c>
      <c r="H29" s="103"/>
    </row>
    <row r="30" spans="2:8" ht="15.75" x14ac:dyDescent="0.25">
      <c r="B30" s="112"/>
      <c r="C30" s="320" t="s">
        <v>687</v>
      </c>
      <c r="D30" s="317" t="s">
        <v>688</v>
      </c>
      <c r="E30" s="318" t="s">
        <v>525</v>
      </c>
      <c r="F30" s="195" t="s">
        <v>524</v>
      </c>
      <c r="G30" s="315">
        <v>25638.57</v>
      </c>
      <c r="H30" s="224"/>
    </row>
    <row r="31" spans="2:8" ht="15.75" x14ac:dyDescent="0.25">
      <c r="B31" s="112"/>
      <c r="C31" s="316" t="s">
        <v>689</v>
      </c>
      <c r="D31" s="317" t="s">
        <v>690</v>
      </c>
      <c r="E31" s="318" t="s">
        <v>691</v>
      </c>
      <c r="F31" s="195" t="s">
        <v>537</v>
      </c>
      <c r="G31" s="315">
        <v>3600000</v>
      </c>
      <c r="H31" s="103"/>
    </row>
    <row r="32" spans="2:8" ht="15.75" x14ac:dyDescent="0.25">
      <c r="B32" s="112"/>
      <c r="C32" s="312">
        <v>44439</v>
      </c>
      <c r="D32" s="313" t="s">
        <v>692</v>
      </c>
      <c r="E32" s="314" t="s">
        <v>693</v>
      </c>
      <c r="F32" s="194" t="s">
        <v>524</v>
      </c>
      <c r="G32" s="315">
        <v>495615</v>
      </c>
      <c r="H32" s="103"/>
    </row>
    <row r="33" spans="2:8" ht="15.75" x14ac:dyDescent="0.25">
      <c r="B33" s="112"/>
      <c r="C33" s="312">
        <v>44449</v>
      </c>
      <c r="D33" s="313" t="s">
        <v>694</v>
      </c>
      <c r="E33" s="314" t="s">
        <v>693</v>
      </c>
      <c r="F33" s="194" t="s">
        <v>524</v>
      </c>
      <c r="G33" s="315">
        <v>48040</v>
      </c>
      <c r="H33" s="103"/>
    </row>
    <row r="34" spans="2:8" ht="15.75" x14ac:dyDescent="0.25">
      <c r="B34" s="112"/>
      <c r="C34" s="312">
        <v>44263</v>
      </c>
      <c r="D34" s="313" t="s">
        <v>695</v>
      </c>
      <c r="E34" s="314" t="s">
        <v>696</v>
      </c>
      <c r="F34" s="194" t="s">
        <v>697</v>
      </c>
      <c r="G34" s="315">
        <v>187620</v>
      </c>
      <c r="H34" s="103"/>
    </row>
    <row r="35" spans="2:8" ht="15.75" x14ac:dyDescent="0.25">
      <c r="B35" s="112"/>
      <c r="C35" s="312">
        <v>44455</v>
      </c>
      <c r="D35" s="313" t="s">
        <v>698</v>
      </c>
      <c r="E35" s="314" t="s">
        <v>526</v>
      </c>
      <c r="F35" s="194" t="s">
        <v>524</v>
      </c>
      <c r="G35" s="315">
        <v>21410</v>
      </c>
      <c r="H35" s="103"/>
    </row>
    <row r="36" spans="2:8" ht="15.75" x14ac:dyDescent="0.25">
      <c r="B36" s="112"/>
      <c r="C36" s="312">
        <v>44281</v>
      </c>
      <c r="D36" s="313" t="s">
        <v>699</v>
      </c>
      <c r="E36" s="314" t="s">
        <v>700</v>
      </c>
      <c r="F36" s="194" t="s">
        <v>701</v>
      </c>
      <c r="G36" s="315">
        <v>2993.66</v>
      </c>
      <c r="H36" s="103"/>
    </row>
    <row r="37" spans="2:8" ht="15.75" x14ac:dyDescent="0.25">
      <c r="B37" s="112"/>
      <c r="C37" s="312">
        <v>44293</v>
      </c>
      <c r="D37" s="313" t="s">
        <v>702</v>
      </c>
      <c r="E37" s="314" t="s">
        <v>700</v>
      </c>
      <c r="F37" s="194" t="s">
        <v>703</v>
      </c>
      <c r="G37" s="315">
        <v>84960</v>
      </c>
      <c r="H37" s="103"/>
    </row>
    <row r="38" spans="2:8" ht="15.75" x14ac:dyDescent="0.25">
      <c r="B38" s="112"/>
      <c r="C38" s="312">
        <v>44321</v>
      </c>
      <c r="D38" s="313" t="s">
        <v>704</v>
      </c>
      <c r="E38" s="314" t="s">
        <v>700</v>
      </c>
      <c r="F38" s="194" t="s">
        <v>705</v>
      </c>
      <c r="G38" s="315">
        <v>98400</v>
      </c>
      <c r="H38" s="103"/>
    </row>
    <row r="39" spans="2:8" ht="15.75" x14ac:dyDescent="0.25">
      <c r="B39" s="112"/>
      <c r="C39" s="312">
        <v>44378</v>
      </c>
      <c r="D39" s="313" t="s">
        <v>706</v>
      </c>
      <c r="E39" s="314" t="s">
        <v>700</v>
      </c>
      <c r="F39" s="194" t="s">
        <v>705</v>
      </c>
      <c r="G39" s="315">
        <v>98400</v>
      </c>
      <c r="H39" s="103"/>
    </row>
    <row r="40" spans="2:8" ht="15.75" x14ac:dyDescent="0.25">
      <c r="B40" s="112"/>
      <c r="C40" s="312">
        <v>44442</v>
      </c>
      <c r="D40" s="313" t="s">
        <v>707</v>
      </c>
      <c r="E40" s="314" t="s">
        <v>700</v>
      </c>
      <c r="F40" s="194" t="s">
        <v>705</v>
      </c>
      <c r="G40" s="315">
        <v>166320</v>
      </c>
      <c r="H40" s="103"/>
    </row>
    <row r="41" spans="2:8" ht="15.75" x14ac:dyDescent="0.25">
      <c r="B41" s="112"/>
      <c r="C41" s="312">
        <v>44452</v>
      </c>
      <c r="D41" s="313" t="s">
        <v>708</v>
      </c>
      <c r="E41" s="314" t="s">
        <v>700</v>
      </c>
      <c r="F41" s="194" t="s">
        <v>705</v>
      </c>
      <c r="G41" s="315">
        <v>11417.2</v>
      </c>
      <c r="H41" s="103"/>
    </row>
    <row r="42" spans="2:8" ht="15.75" x14ac:dyDescent="0.25">
      <c r="B42" s="112"/>
      <c r="C42" s="312">
        <v>44452</v>
      </c>
      <c r="D42" s="313" t="s">
        <v>709</v>
      </c>
      <c r="E42" s="314" t="s">
        <v>700</v>
      </c>
      <c r="F42" s="194" t="s">
        <v>705</v>
      </c>
      <c r="G42" s="315">
        <v>113022</v>
      </c>
      <c r="H42" s="103"/>
    </row>
    <row r="43" spans="2:8" ht="15.75" x14ac:dyDescent="0.25">
      <c r="B43" s="112"/>
      <c r="C43" s="312">
        <v>44459</v>
      </c>
      <c r="D43" s="313" t="s">
        <v>710</v>
      </c>
      <c r="E43" s="314" t="s">
        <v>700</v>
      </c>
      <c r="F43" s="194" t="s">
        <v>705</v>
      </c>
      <c r="G43" s="315">
        <v>624224.6</v>
      </c>
      <c r="H43" s="103"/>
    </row>
    <row r="44" spans="2:8" ht="15.75" x14ac:dyDescent="0.25">
      <c r="B44" s="112"/>
      <c r="C44" s="312">
        <v>44459</v>
      </c>
      <c r="D44" s="313" t="s">
        <v>711</v>
      </c>
      <c r="E44" s="314" t="s">
        <v>700</v>
      </c>
      <c r="F44" s="194" t="s">
        <v>705</v>
      </c>
      <c r="G44" s="315">
        <v>478565</v>
      </c>
      <c r="H44" s="103"/>
    </row>
    <row r="45" spans="2:8" ht="15.75" x14ac:dyDescent="0.25">
      <c r="B45" s="112"/>
      <c r="C45" s="312">
        <v>44462</v>
      </c>
      <c r="D45" s="313" t="s">
        <v>712</v>
      </c>
      <c r="E45" s="314" t="s">
        <v>700</v>
      </c>
      <c r="F45" s="194" t="s">
        <v>705</v>
      </c>
      <c r="G45" s="315">
        <v>883839.6</v>
      </c>
      <c r="H45" s="103"/>
    </row>
    <row r="46" spans="2:8" ht="15.75" x14ac:dyDescent="0.25">
      <c r="B46" s="112"/>
      <c r="C46" s="312">
        <v>44468</v>
      </c>
      <c r="D46" s="313" t="s">
        <v>713</v>
      </c>
      <c r="E46" s="314" t="s">
        <v>700</v>
      </c>
      <c r="F46" s="194" t="s">
        <v>705</v>
      </c>
      <c r="G46" s="315">
        <v>15611.4</v>
      </c>
      <c r="H46" s="103"/>
    </row>
    <row r="47" spans="2:8" ht="15.75" x14ac:dyDescent="0.25">
      <c r="B47" s="112"/>
      <c r="C47" s="312">
        <v>44316</v>
      </c>
      <c r="D47" s="313" t="s">
        <v>714</v>
      </c>
      <c r="E47" s="314" t="s">
        <v>715</v>
      </c>
      <c r="F47" s="194" t="s">
        <v>716</v>
      </c>
      <c r="G47" s="315">
        <v>31910</v>
      </c>
      <c r="H47" s="103"/>
    </row>
    <row r="48" spans="2:8" ht="15.75" x14ac:dyDescent="0.25">
      <c r="B48" s="112"/>
      <c r="C48" s="312">
        <v>44407</v>
      </c>
      <c r="D48" s="313" t="s">
        <v>717</v>
      </c>
      <c r="E48" s="314" t="s">
        <v>715</v>
      </c>
      <c r="F48" s="194" t="s">
        <v>716</v>
      </c>
      <c r="G48" s="315">
        <v>24730</v>
      </c>
      <c r="H48" s="103"/>
    </row>
    <row r="49" spans="2:8" ht="15.75" x14ac:dyDescent="0.25">
      <c r="B49" s="112"/>
      <c r="C49" s="312">
        <v>44408</v>
      </c>
      <c r="D49" s="313" t="s">
        <v>718</v>
      </c>
      <c r="E49" s="314" t="s">
        <v>719</v>
      </c>
      <c r="F49" s="194" t="s">
        <v>716</v>
      </c>
      <c r="G49" s="315">
        <v>32320</v>
      </c>
      <c r="H49" s="103"/>
    </row>
    <row r="50" spans="2:8" ht="15.75" x14ac:dyDescent="0.25">
      <c r="B50" s="112"/>
      <c r="C50" s="312">
        <v>44439</v>
      </c>
      <c r="D50" s="313" t="s">
        <v>720</v>
      </c>
      <c r="E50" s="314" t="s">
        <v>719</v>
      </c>
      <c r="F50" s="194" t="s">
        <v>716</v>
      </c>
      <c r="G50" s="315">
        <v>45370</v>
      </c>
      <c r="H50" s="103"/>
    </row>
    <row r="51" spans="2:8" ht="15.75" x14ac:dyDescent="0.25">
      <c r="B51" s="112"/>
      <c r="C51" s="312">
        <v>44347</v>
      </c>
      <c r="D51" s="313" t="s">
        <v>721</v>
      </c>
      <c r="E51" s="314" t="s">
        <v>722</v>
      </c>
      <c r="F51" s="194" t="s">
        <v>716</v>
      </c>
      <c r="G51" s="315">
        <v>14185</v>
      </c>
      <c r="H51" s="103"/>
    </row>
    <row r="52" spans="2:8" ht="15.75" x14ac:dyDescent="0.25">
      <c r="B52" s="112"/>
      <c r="C52" s="312">
        <v>43329</v>
      </c>
      <c r="D52" s="313">
        <v>90022969</v>
      </c>
      <c r="E52" s="314" t="s">
        <v>723</v>
      </c>
      <c r="F52" s="194" t="s">
        <v>537</v>
      </c>
      <c r="G52" s="315">
        <v>100000</v>
      </c>
      <c r="H52" s="103"/>
    </row>
    <row r="53" spans="2:8" ht="15.75" x14ac:dyDescent="0.25">
      <c r="B53" s="112"/>
      <c r="C53" s="312">
        <v>44455</v>
      </c>
      <c r="D53" s="313" t="s">
        <v>724</v>
      </c>
      <c r="E53" s="314" t="s">
        <v>529</v>
      </c>
      <c r="F53" s="194" t="s">
        <v>725</v>
      </c>
      <c r="G53" s="315">
        <v>4572459.3099999996</v>
      </c>
      <c r="H53" s="103"/>
    </row>
    <row r="54" spans="2:8" ht="15.75" x14ac:dyDescent="0.25">
      <c r="B54" s="112"/>
      <c r="C54" s="312">
        <v>44439</v>
      </c>
      <c r="D54" s="313" t="s">
        <v>726</v>
      </c>
      <c r="E54" s="314" t="s">
        <v>527</v>
      </c>
      <c r="F54" s="194" t="s">
        <v>727</v>
      </c>
      <c r="G54" s="315">
        <v>14750</v>
      </c>
      <c r="H54" s="103"/>
    </row>
    <row r="55" spans="2:8" ht="15.75" x14ac:dyDescent="0.25">
      <c r="B55" s="112"/>
      <c r="C55" s="312">
        <v>44405</v>
      </c>
      <c r="D55" s="313" t="s">
        <v>728</v>
      </c>
      <c r="E55" s="314" t="s">
        <v>530</v>
      </c>
      <c r="F55" s="194" t="s">
        <v>524</v>
      </c>
      <c r="G55" s="315">
        <v>2913849.9</v>
      </c>
      <c r="H55" s="103"/>
    </row>
    <row r="56" spans="2:8" ht="15.75" x14ac:dyDescent="0.25">
      <c r="B56" s="112"/>
      <c r="C56" s="312">
        <v>44405</v>
      </c>
      <c r="D56" s="313" t="s">
        <v>729</v>
      </c>
      <c r="E56" s="314" t="s">
        <v>530</v>
      </c>
      <c r="F56" s="194" t="s">
        <v>524</v>
      </c>
      <c r="G56" s="315">
        <v>8200</v>
      </c>
      <c r="H56" s="103"/>
    </row>
    <row r="57" spans="2:8" ht="15.75" x14ac:dyDescent="0.25">
      <c r="B57" s="112"/>
      <c r="C57" s="312">
        <v>44413</v>
      </c>
      <c r="D57" s="313" t="s">
        <v>730</v>
      </c>
      <c r="E57" s="314" t="s">
        <v>530</v>
      </c>
      <c r="F57" s="194" t="s">
        <v>524</v>
      </c>
      <c r="G57" s="315">
        <v>1921699.89</v>
      </c>
      <c r="H57" s="103"/>
    </row>
    <row r="58" spans="2:8" ht="15.75" x14ac:dyDescent="0.25">
      <c r="B58" s="112"/>
      <c r="C58" s="312">
        <v>44438</v>
      </c>
      <c r="D58" s="313" t="s">
        <v>731</v>
      </c>
      <c r="E58" s="314" t="s">
        <v>530</v>
      </c>
      <c r="F58" s="194" t="s">
        <v>524</v>
      </c>
      <c r="G58" s="315">
        <v>432136.66</v>
      </c>
      <c r="H58" s="103"/>
    </row>
    <row r="59" spans="2:8" ht="15.75" x14ac:dyDescent="0.25">
      <c r="B59" s="112"/>
      <c r="C59" s="312">
        <v>44438</v>
      </c>
      <c r="D59" s="313" t="s">
        <v>732</v>
      </c>
      <c r="E59" s="314" t="s">
        <v>530</v>
      </c>
      <c r="F59" s="194" t="s">
        <v>524</v>
      </c>
      <c r="G59" s="315">
        <v>155170</v>
      </c>
      <c r="H59" s="103"/>
    </row>
    <row r="60" spans="2:8" ht="15.75" x14ac:dyDescent="0.25">
      <c r="B60" s="112"/>
      <c r="C60" s="312">
        <v>44438</v>
      </c>
      <c r="D60" s="313" t="s">
        <v>733</v>
      </c>
      <c r="E60" s="314" t="s">
        <v>530</v>
      </c>
      <c r="F60" s="194" t="s">
        <v>524</v>
      </c>
      <c r="G60" s="315">
        <v>83190</v>
      </c>
      <c r="H60" s="103"/>
    </row>
    <row r="61" spans="2:8" ht="15.75" x14ac:dyDescent="0.25">
      <c r="B61" s="112"/>
      <c r="C61" s="312">
        <v>44438</v>
      </c>
      <c r="D61" s="313" t="s">
        <v>734</v>
      </c>
      <c r="E61" s="314" t="s">
        <v>530</v>
      </c>
      <c r="F61" s="194" t="s">
        <v>524</v>
      </c>
      <c r="G61" s="315">
        <v>688533.3</v>
      </c>
      <c r="H61" s="103"/>
    </row>
    <row r="62" spans="2:8" ht="15.75" x14ac:dyDescent="0.25">
      <c r="B62" s="112"/>
      <c r="C62" s="312">
        <v>44438</v>
      </c>
      <c r="D62" s="313" t="s">
        <v>735</v>
      </c>
      <c r="E62" s="314" t="s">
        <v>530</v>
      </c>
      <c r="F62" s="194" t="s">
        <v>524</v>
      </c>
      <c r="G62" s="315">
        <v>188446.66</v>
      </c>
      <c r="H62" s="103"/>
    </row>
    <row r="63" spans="2:8" ht="15.75" x14ac:dyDescent="0.25">
      <c r="B63" s="112"/>
      <c r="C63" s="312">
        <v>44438</v>
      </c>
      <c r="D63" s="313" t="s">
        <v>736</v>
      </c>
      <c r="E63" s="314" t="s">
        <v>530</v>
      </c>
      <c r="F63" s="194" t="s">
        <v>524</v>
      </c>
      <c r="G63" s="315">
        <v>711639.99</v>
      </c>
      <c r="H63" s="103"/>
    </row>
    <row r="64" spans="2:8" ht="15.75" x14ac:dyDescent="0.25">
      <c r="B64" s="112"/>
      <c r="C64" s="312">
        <v>44438</v>
      </c>
      <c r="D64" s="313" t="s">
        <v>737</v>
      </c>
      <c r="E64" s="314" t="s">
        <v>530</v>
      </c>
      <c r="F64" s="194" t="s">
        <v>524</v>
      </c>
      <c r="G64" s="315">
        <v>596079.97</v>
      </c>
      <c r="H64" s="103"/>
    </row>
    <row r="65" spans="2:8" ht="15.75" x14ac:dyDescent="0.25">
      <c r="B65" s="112"/>
      <c r="C65" s="312">
        <v>44438</v>
      </c>
      <c r="D65" s="313" t="s">
        <v>738</v>
      </c>
      <c r="E65" s="314" t="s">
        <v>530</v>
      </c>
      <c r="F65" s="194" t="s">
        <v>524</v>
      </c>
      <c r="G65" s="315">
        <v>130213.33</v>
      </c>
      <c r="H65" s="103"/>
    </row>
    <row r="66" spans="2:8" ht="15.75" x14ac:dyDescent="0.25">
      <c r="B66" s="112"/>
      <c r="C66" s="312">
        <v>44438</v>
      </c>
      <c r="D66" s="313" t="s">
        <v>739</v>
      </c>
      <c r="E66" s="314" t="s">
        <v>530</v>
      </c>
      <c r="F66" s="194" t="s">
        <v>524</v>
      </c>
      <c r="G66" s="315">
        <v>217179.99</v>
      </c>
      <c r="H66" s="103"/>
    </row>
    <row r="67" spans="2:8" ht="15.75" x14ac:dyDescent="0.25">
      <c r="B67" s="112"/>
      <c r="C67" s="312">
        <v>44438</v>
      </c>
      <c r="D67" s="313" t="s">
        <v>740</v>
      </c>
      <c r="E67" s="314" t="s">
        <v>530</v>
      </c>
      <c r="F67" s="194" t="s">
        <v>524</v>
      </c>
      <c r="G67" s="315">
        <v>106200</v>
      </c>
      <c r="H67" s="103"/>
    </row>
    <row r="68" spans="2:8" ht="15.75" x14ac:dyDescent="0.25">
      <c r="B68" s="112"/>
      <c r="C68" s="312">
        <v>44445</v>
      </c>
      <c r="D68" s="313" t="s">
        <v>741</v>
      </c>
      <c r="E68" s="314" t="s">
        <v>530</v>
      </c>
      <c r="F68" s="194" t="s">
        <v>524</v>
      </c>
      <c r="G68" s="315">
        <v>136880</v>
      </c>
      <c r="H68" s="103"/>
    </row>
    <row r="69" spans="2:8" ht="15.75" x14ac:dyDescent="0.25">
      <c r="B69" s="112"/>
      <c r="C69" s="312">
        <v>44445</v>
      </c>
      <c r="D69" s="313" t="s">
        <v>742</v>
      </c>
      <c r="E69" s="314" t="s">
        <v>530</v>
      </c>
      <c r="F69" s="194" t="s">
        <v>524</v>
      </c>
      <c r="G69" s="315">
        <v>141423.32999999999</v>
      </c>
      <c r="H69" s="103"/>
    </row>
    <row r="70" spans="2:8" ht="15.75" x14ac:dyDescent="0.25">
      <c r="B70" s="112"/>
      <c r="C70" s="312">
        <v>44446</v>
      </c>
      <c r="D70" s="313" t="s">
        <v>743</v>
      </c>
      <c r="E70" s="314" t="s">
        <v>530</v>
      </c>
      <c r="F70" s="194" t="s">
        <v>524</v>
      </c>
      <c r="G70" s="315">
        <v>549056.64</v>
      </c>
      <c r="H70" s="103"/>
    </row>
    <row r="71" spans="2:8" ht="15.75" x14ac:dyDescent="0.25">
      <c r="B71" s="112"/>
      <c r="C71" s="312">
        <v>44449</v>
      </c>
      <c r="D71" s="313" t="s">
        <v>744</v>
      </c>
      <c r="E71" s="314" t="s">
        <v>530</v>
      </c>
      <c r="F71" s="194" t="s">
        <v>524</v>
      </c>
      <c r="G71" s="315">
        <v>168150</v>
      </c>
      <c r="H71" s="103"/>
    </row>
    <row r="72" spans="2:8" ht="15.75" x14ac:dyDescent="0.25">
      <c r="B72" s="112"/>
      <c r="C72" s="312">
        <v>44454</v>
      </c>
      <c r="D72" s="313" t="s">
        <v>745</v>
      </c>
      <c r="E72" s="314" t="s">
        <v>530</v>
      </c>
      <c r="F72" s="194" t="s">
        <v>524</v>
      </c>
      <c r="G72" s="315">
        <v>257889.99</v>
      </c>
      <c r="H72" s="103"/>
    </row>
    <row r="73" spans="2:8" ht="15.75" x14ac:dyDescent="0.25">
      <c r="B73" s="112"/>
      <c r="C73" s="312">
        <v>44461</v>
      </c>
      <c r="D73" s="313" t="s">
        <v>746</v>
      </c>
      <c r="E73" s="314" t="s">
        <v>530</v>
      </c>
      <c r="F73" s="194" t="s">
        <v>524</v>
      </c>
      <c r="G73" s="315">
        <v>165880</v>
      </c>
      <c r="H73" s="103"/>
    </row>
    <row r="74" spans="2:8" ht="15.75" x14ac:dyDescent="0.25">
      <c r="B74" s="112"/>
      <c r="C74" s="312">
        <v>44298</v>
      </c>
      <c r="D74" s="313" t="s">
        <v>747</v>
      </c>
      <c r="E74" s="314" t="s">
        <v>748</v>
      </c>
      <c r="F74" s="194" t="s">
        <v>537</v>
      </c>
      <c r="G74" s="315">
        <v>924000</v>
      </c>
      <c r="H74" s="103"/>
    </row>
    <row r="75" spans="2:8" ht="15.75" x14ac:dyDescent="0.25">
      <c r="B75" s="112"/>
      <c r="C75" s="312">
        <v>44326</v>
      </c>
      <c r="D75" s="313" t="s">
        <v>749</v>
      </c>
      <c r="E75" s="314" t="s">
        <v>748</v>
      </c>
      <c r="F75" s="194" t="s">
        <v>537</v>
      </c>
      <c r="G75" s="315">
        <v>924000</v>
      </c>
      <c r="H75" s="103"/>
    </row>
    <row r="76" spans="2:8" ht="15.75" x14ac:dyDescent="0.25">
      <c r="B76" s="112"/>
      <c r="C76" s="312">
        <v>44432</v>
      </c>
      <c r="D76" s="313" t="s">
        <v>750</v>
      </c>
      <c r="E76" s="314" t="s">
        <v>748</v>
      </c>
      <c r="F76" s="194" t="s">
        <v>524</v>
      </c>
      <c r="G76" s="315">
        <v>975800</v>
      </c>
      <c r="H76" s="103"/>
    </row>
    <row r="77" spans="2:8" ht="15.75" x14ac:dyDescent="0.25">
      <c r="B77" s="112"/>
      <c r="C77" s="312">
        <v>44466</v>
      </c>
      <c r="D77" s="313" t="s">
        <v>751</v>
      </c>
      <c r="E77" s="314" t="s">
        <v>748</v>
      </c>
      <c r="F77" s="194" t="s">
        <v>537</v>
      </c>
      <c r="G77" s="315">
        <v>784470</v>
      </c>
      <c r="H77" s="103"/>
    </row>
    <row r="78" spans="2:8" ht="15.75" x14ac:dyDescent="0.25">
      <c r="B78" s="112"/>
      <c r="C78" s="312">
        <v>44453</v>
      </c>
      <c r="D78" s="313" t="s">
        <v>752</v>
      </c>
      <c r="E78" s="314" t="s">
        <v>753</v>
      </c>
      <c r="F78" s="194" t="s">
        <v>754</v>
      </c>
      <c r="G78" s="315">
        <v>7000</v>
      </c>
      <c r="H78" s="103"/>
    </row>
    <row r="79" spans="2:8" ht="15.75" x14ac:dyDescent="0.25">
      <c r="B79" s="112"/>
      <c r="C79" s="312">
        <v>44456</v>
      </c>
      <c r="D79" s="313" t="s">
        <v>755</v>
      </c>
      <c r="E79" s="314" t="s">
        <v>753</v>
      </c>
      <c r="F79" s="194" t="s">
        <v>756</v>
      </c>
      <c r="G79" s="315">
        <v>14000</v>
      </c>
      <c r="H79" s="103"/>
    </row>
    <row r="80" spans="2:8" ht="15.75" x14ac:dyDescent="0.25">
      <c r="B80" s="112"/>
      <c r="C80" s="316">
        <v>44061</v>
      </c>
      <c r="D80" s="321" t="s">
        <v>757</v>
      </c>
      <c r="E80" s="196" t="s">
        <v>758</v>
      </c>
      <c r="F80" s="195" t="s">
        <v>524</v>
      </c>
      <c r="G80" s="315">
        <v>337498.2</v>
      </c>
      <c r="H80" s="103"/>
    </row>
    <row r="81" spans="2:8" ht="15.75" x14ac:dyDescent="0.25">
      <c r="B81" s="112"/>
      <c r="C81" s="312">
        <v>44244</v>
      </c>
      <c r="D81" s="313" t="s">
        <v>759</v>
      </c>
      <c r="E81" s="314" t="s">
        <v>758</v>
      </c>
      <c r="F81" s="194" t="s">
        <v>524</v>
      </c>
      <c r="G81" s="315">
        <v>112868.5</v>
      </c>
      <c r="H81" s="103"/>
    </row>
    <row r="82" spans="2:8" ht="15.75" x14ac:dyDescent="0.25">
      <c r="B82" s="112"/>
      <c r="C82" s="312">
        <v>44244</v>
      </c>
      <c r="D82" s="313" t="s">
        <v>760</v>
      </c>
      <c r="E82" s="314" t="s">
        <v>758</v>
      </c>
      <c r="F82" s="194" t="s">
        <v>524</v>
      </c>
      <c r="G82" s="315">
        <v>244040</v>
      </c>
      <c r="H82" s="103"/>
    </row>
    <row r="83" spans="2:8" ht="15.75" x14ac:dyDescent="0.25">
      <c r="B83" s="112"/>
      <c r="C83" s="312">
        <v>44341</v>
      </c>
      <c r="D83" s="313" t="s">
        <v>761</v>
      </c>
      <c r="E83" s="314" t="s">
        <v>758</v>
      </c>
      <c r="F83" s="194" t="s">
        <v>524</v>
      </c>
      <c r="G83" s="315">
        <v>6007.97</v>
      </c>
      <c r="H83" s="103"/>
    </row>
    <row r="84" spans="2:8" ht="15.75" x14ac:dyDescent="0.25">
      <c r="B84" s="112"/>
      <c r="C84" s="312">
        <v>44369</v>
      </c>
      <c r="D84" s="313" t="s">
        <v>762</v>
      </c>
      <c r="E84" s="314" t="s">
        <v>758</v>
      </c>
      <c r="F84" s="194" t="s">
        <v>524</v>
      </c>
      <c r="G84" s="315">
        <v>2829168</v>
      </c>
      <c r="H84" s="103"/>
    </row>
    <row r="85" spans="2:8" ht="15.75" x14ac:dyDescent="0.25">
      <c r="B85" s="112"/>
      <c r="C85" s="312">
        <v>44426</v>
      </c>
      <c r="D85" s="313" t="s">
        <v>757</v>
      </c>
      <c r="E85" s="314" t="s">
        <v>758</v>
      </c>
      <c r="F85" s="194" t="s">
        <v>524</v>
      </c>
      <c r="G85" s="315">
        <v>337498.2</v>
      </c>
      <c r="H85" s="103"/>
    </row>
    <row r="86" spans="2:8" ht="15.75" x14ac:dyDescent="0.25">
      <c r="B86" s="112"/>
      <c r="C86" s="312">
        <v>44434</v>
      </c>
      <c r="D86" s="313" t="s">
        <v>763</v>
      </c>
      <c r="E86" s="314" t="s">
        <v>758</v>
      </c>
      <c r="F86" s="194" t="s">
        <v>524</v>
      </c>
      <c r="G86" s="315">
        <v>900013.14</v>
      </c>
      <c r="H86" s="103"/>
    </row>
    <row r="87" spans="2:8" ht="15.75" x14ac:dyDescent="0.25">
      <c r="B87" s="112"/>
      <c r="C87" s="312">
        <v>44447</v>
      </c>
      <c r="D87" s="313" t="s">
        <v>764</v>
      </c>
      <c r="E87" s="314" t="s">
        <v>571</v>
      </c>
      <c r="F87" s="194" t="s">
        <v>524</v>
      </c>
      <c r="G87" s="315">
        <v>14160</v>
      </c>
      <c r="H87" s="103"/>
    </row>
    <row r="88" spans="2:8" ht="15.75" x14ac:dyDescent="0.25">
      <c r="B88" s="112"/>
      <c r="C88" s="312">
        <v>44020</v>
      </c>
      <c r="D88" s="313" t="s">
        <v>765</v>
      </c>
      <c r="E88" s="314" t="s">
        <v>766</v>
      </c>
      <c r="F88" s="194" t="s">
        <v>767</v>
      </c>
      <c r="G88" s="315">
        <v>53100</v>
      </c>
      <c r="H88" s="103"/>
    </row>
    <row r="89" spans="2:8" ht="15.75" x14ac:dyDescent="0.25">
      <c r="B89" s="112"/>
      <c r="C89" s="312">
        <v>44020</v>
      </c>
      <c r="D89" s="313" t="s">
        <v>768</v>
      </c>
      <c r="E89" s="314" t="s">
        <v>766</v>
      </c>
      <c r="F89" s="194" t="s">
        <v>767</v>
      </c>
      <c r="G89" s="315">
        <v>53100</v>
      </c>
      <c r="H89" s="103"/>
    </row>
    <row r="90" spans="2:8" ht="15.75" x14ac:dyDescent="0.25">
      <c r="B90" s="112"/>
      <c r="C90" s="312">
        <v>44020</v>
      </c>
      <c r="D90" s="313" t="s">
        <v>769</v>
      </c>
      <c r="E90" s="314" t="s">
        <v>766</v>
      </c>
      <c r="F90" s="194" t="s">
        <v>767</v>
      </c>
      <c r="G90" s="315">
        <v>59000</v>
      </c>
      <c r="H90" s="103"/>
    </row>
    <row r="91" spans="2:8" ht="15.75" x14ac:dyDescent="0.25">
      <c r="B91" s="112"/>
      <c r="C91" s="312">
        <v>44020</v>
      </c>
      <c r="D91" s="313" t="s">
        <v>770</v>
      </c>
      <c r="E91" s="314" t="s">
        <v>766</v>
      </c>
      <c r="F91" s="194" t="s">
        <v>767</v>
      </c>
      <c r="G91" s="315">
        <v>100300</v>
      </c>
      <c r="H91" s="103"/>
    </row>
    <row r="92" spans="2:8" ht="15.75" x14ac:dyDescent="0.25">
      <c r="B92" s="112"/>
      <c r="C92" s="312">
        <v>44468</v>
      </c>
      <c r="D92" s="313" t="s">
        <v>771</v>
      </c>
      <c r="E92" s="314" t="s">
        <v>534</v>
      </c>
      <c r="F92" s="194" t="s">
        <v>537</v>
      </c>
      <c r="G92" s="315">
        <v>281182</v>
      </c>
      <c r="H92" s="103"/>
    </row>
    <row r="93" spans="2:8" ht="15.75" x14ac:dyDescent="0.25">
      <c r="B93" s="112"/>
      <c r="C93" s="312">
        <v>44412</v>
      </c>
      <c r="D93" s="313" t="s">
        <v>772</v>
      </c>
      <c r="E93" s="314" t="s">
        <v>533</v>
      </c>
      <c r="F93" s="194" t="s">
        <v>524</v>
      </c>
      <c r="G93" s="315">
        <v>766354.59</v>
      </c>
      <c r="H93" s="103"/>
    </row>
    <row r="94" spans="2:8" ht="15.75" x14ac:dyDescent="0.25">
      <c r="B94" s="112"/>
      <c r="C94" s="312">
        <v>44445</v>
      </c>
      <c r="D94" s="313" t="s">
        <v>773</v>
      </c>
      <c r="E94" s="314" t="s">
        <v>533</v>
      </c>
      <c r="F94" s="194" t="s">
        <v>524</v>
      </c>
      <c r="G94" s="315">
        <v>25200</v>
      </c>
      <c r="H94" s="103"/>
    </row>
    <row r="95" spans="2:8" ht="15.75" x14ac:dyDescent="0.25">
      <c r="B95" s="112"/>
      <c r="C95" s="312">
        <v>44456</v>
      </c>
      <c r="D95" s="313" t="s">
        <v>774</v>
      </c>
      <c r="E95" s="314" t="s">
        <v>533</v>
      </c>
      <c r="F95" s="194" t="s">
        <v>524</v>
      </c>
      <c r="G95" s="315">
        <v>65280</v>
      </c>
      <c r="H95" s="103"/>
    </row>
    <row r="96" spans="2:8" ht="15.75" x14ac:dyDescent="0.25">
      <c r="B96" s="112"/>
      <c r="C96" s="312">
        <v>44457</v>
      </c>
      <c r="D96" s="313" t="s">
        <v>775</v>
      </c>
      <c r="E96" s="314" t="s">
        <v>533</v>
      </c>
      <c r="F96" s="194" t="s">
        <v>524</v>
      </c>
      <c r="G96" s="315">
        <v>65205</v>
      </c>
      <c r="H96" s="103"/>
    </row>
    <row r="97" spans="2:8" ht="15.75" x14ac:dyDescent="0.25">
      <c r="B97" s="112"/>
      <c r="C97" s="312">
        <v>44459</v>
      </c>
      <c r="D97" s="313" t="s">
        <v>776</v>
      </c>
      <c r="E97" s="314" t="s">
        <v>531</v>
      </c>
      <c r="F97" s="194" t="s">
        <v>537</v>
      </c>
      <c r="G97" s="315">
        <v>475000</v>
      </c>
      <c r="H97" s="103"/>
    </row>
    <row r="98" spans="2:8" ht="15.75" x14ac:dyDescent="0.25">
      <c r="B98" s="112"/>
      <c r="C98" s="312">
        <v>44322</v>
      </c>
      <c r="D98" s="313" t="s">
        <v>777</v>
      </c>
      <c r="E98" s="314" t="s">
        <v>778</v>
      </c>
      <c r="F98" s="194" t="s">
        <v>537</v>
      </c>
      <c r="G98" s="315">
        <v>94500</v>
      </c>
      <c r="H98" s="103"/>
    </row>
    <row r="99" spans="2:8" ht="15.75" x14ac:dyDescent="0.25">
      <c r="B99" s="112"/>
      <c r="C99" s="312">
        <v>44334</v>
      </c>
      <c r="D99" s="313" t="s">
        <v>779</v>
      </c>
      <c r="E99" s="314" t="s">
        <v>778</v>
      </c>
      <c r="F99" s="194" t="s">
        <v>532</v>
      </c>
      <c r="G99" s="315">
        <v>5000</v>
      </c>
      <c r="H99" s="224"/>
    </row>
    <row r="100" spans="2:8" ht="15.75" x14ac:dyDescent="0.25">
      <c r="B100" s="112"/>
      <c r="C100" s="312">
        <v>44407</v>
      </c>
      <c r="D100" s="313" t="s">
        <v>780</v>
      </c>
      <c r="E100" s="314" t="s">
        <v>535</v>
      </c>
      <c r="F100" s="194" t="s">
        <v>781</v>
      </c>
      <c r="G100" s="315">
        <v>148680</v>
      </c>
      <c r="H100" s="103"/>
    </row>
    <row r="101" spans="2:8" ht="15.75" x14ac:dyDescent="0.25">
      <c r="B101" s="112"/>
      <c r="C101" s="312">
        <v>44438</v>
      </c>
      <c r="D101" s="313" t="s">
        <v>782</v>
      </c>
      <c r="E101" s="314" t="s">
        <v>535</v>
      </c>
      <c r="F101" s="194" t="s">
        <v>783</v>
      </c>
      <c r="G101" s="315">
        <v>148680</v>
      </c>
      <c r="H101" s="103"/>
    </row>
    <row r="102" spans="2:8" ht="15.75" x14ac:dyDescent="0.25">
      <c r="B102" s="112"/>
      <c r="C102" s="312">
        <v>44445</v>
      </c>
      <c r="D102" s="313" t="s">
        <v>784</v>
      </c>
      <c r="E102" s="314" t="s">
        <v>785</v>
      </c>
      <c r="F102" s="194" t="s">
        <v>524</v>
      </c>
      <c r="G102" s="315">
        <v>16649.88</v>
      </c>
      <c r="H102" s="103"/>
    </row>
    <row r="103" spans="2:8" ht="15.75" x14ac:dyDescent="0.25">
      <c r="B103" s="112"/>
      <c r="C103" s="312">
        <v>44448</v>
      </c>
      <c r="D103" s="313" t="s">
        <v>786</v>
      </c>
      <c r="E103" s="314" t="s">
        <v>583</v>
      </c>
      <c r="F103" s="194" t="s">
        <v>524</v>
      </c>
      <c r="G103" s="315">
        <v>459198.55</v>
      </c>
      <c r="H103" s="103"/>
    </row>
    <row r="104" spans="2:8" ht="15.75" x14ac:dyDescent="0.25">
      <c r="B104" s="112"/>
      <c r="C104" s="312">
        <v>44265</v>
      </c>
      <c r="D104" s="313" t="s">
        <v>787</v>
      </c>
      <c r="E104" s="314" t="s">
        <v>788</v>
      </c>
      <c r="F104" s="194" t="s">
        <v>524</v>
      </c>
      <c r="G104" s="315">
        <v>216000</v>
      </c>
      <c r="H104" s="103"/>
    </row>
    <row r="105" spans="2:8" ht="15.75" x14ac:dyDescent="0.25">
      <c r="B105" s="112"/>
      <c r="C105" s="312">
        <v>44320</v>
      </c>
      <c r="D105" s="313" t="s">
        <v>789</v>
      </c>
      <c r="E105" s="314" t="s">
        <v>788</v>
      </c>
      <c r="F105" s="194" t="s">
        <v>524</v>
      </c>
      <c r="G105" s="315">
        <v>192000</v>
      </c>
      <c r="H105" s="103"/>
    </row>
    <row r="106" spans="2:8" ht="15.75" x14ac:dyDescent="0.25">
      <c r="B106" s="112"/>
      <c r="C106" s="312">
        <v>44442</v>
      </c>
      <c r="D106" s="313" t="s">
        <v>790</v>
      </c>
      <c r="E106" s="314" t="s">
        <v>788</v>
      </c>
      <c r="F106" s="194" t="s">
        <v>524</v>
      </c>
      <c r="G106" s="315">
        <v>187200</v>
      </c>
      <c r="H106" s="103"/>
    </row>
    <row r="107" spans="2:8" ht="15.75" x14ac:dyDescent="0.25">
      <c r="B107" s="112"/>
      <c r="C107" s="312">
        <v>44446</v>
      </c>
      <c r="D107" s="313" t="s">
        <v>791</v>
      </c>
      <c r="E107" s="314" t="s">
        <v>788</v>
      </c>
      <c r="F107" s="194" t="s">
        <v>524</v>
      </c>
      <c r="G107" s="315">
        <v>47200</v>
      </c>
      <c r="H107" s="103"/>
    </row>
    <row r="108" spans="2:8" ht="15.75" x14ac:dyDescent="0.25">
      <c r="B108" s="112"/>
      <c r="C108" s="312">
        <v>44456</v>
      </c>
      <c r="D108" s="313" t="s">
        <v>792</v>
      </c>
      <c r="E108" s="314" t="s">
        <v>788</v>
      </c>
      <c r="F108" s="194" t="s">
        <v>524</v>
      </c>
      <c r="G108" s="315">
        <v>35512.14</v>
      </c>
      <c r="H108" s="103"/>
    </row>
    <row r="109" spans="2:8" ht="15.75" x14ac:dyDescent="0.25">
      <c r="B109" s="112"/>
      <c r="C109" s="312">
        <v>44466</v>
      </c>
      <c r="D109" s="313" t="s">
        <v>793</v>
      </c>
      <c r="E109" s="314" t="s">
        <v>788</v>
      </c>
      <c r="F109" s="194" t="s">
        <v>524</v>
      </c>
      <c r="G109" s="315">
        <v>89299.199999999997</v>
      </c>
      <c r="H109" s="103"/>
    </row>
    <row r="110" spans="2:8" ht="15.75" x14ac:dyDescent="0.25">
      <c r="B110" s="330"/>
      <c r="C110" s="312">
        <v>43868</v>
      </c>
      <c r="D110" s="313" t="s">
        <v>794</v>
      </c>
      <c r="E110" s="314" t="s">
        <v>795</v>
      </c>
      <c r="F110" s="194" t="s">
        <v>796</v>
      </c>
      <c r="G110" s="315">
        <v>28728.67</v>
      </c>
      <c r="H110" s="328"/>
    </row>
    <row r="111" spans="2:8" ht="15.75" x14ac:dyDescent="0.25">
      <c r="B111" s="226"/>
      <c r="C111" s="312">
        <v>43874</v>
      </c>
      <c r="D111" s="313" t="s">
        <v>797</v>
      </c>
      <c r="E111" s="314" t="s">
        <v>795</v>
      </c>
      <c r="F111" s="194" t="s">
        <v>796</v>
      </c>
      <c r="G111" s="315">
        <v>34546.5</v>
      </c>
      <c r="H111" s="103"/>
    </row>
    <row r="112" spans="2:8" ht="15.75" x14ac:dyDescent="0.25">
      <c r="C112" s="312">
        <v>44243</v>
      </c>
      <c r="D112" s="313" t="s">
        <v>798</v>
      </c>
      <c r="E112" s="314" t="s">
        <v>536</v>
      </c>
      <c r="F112" s="194" t="s">
        <v>524</v>
      </c>
      <c r="G112" s="315">
        <v>31801</v>
      </c>
      <c r="H112" s="103"/>
    </row>
    <row r="113" spans="2:8" ht="15.75" x14ac:dyDescent="0.25">
      <c r="C113" s="312">
        <v>44449</v>
      </c>
      <c r="D113" s="313" t="s">
        <v>742</v>
      </c>
      <c r="E113" s="314" t="s">
        <v>536</v>
      </c>
      <c r="F113" s="194" t="s">
        <v>524</v>
      </c>
      <c r="G113" s="315">
        <v>9768606.4000000004</v>
      </c>
      <c r="H113" s="103"/>
    </row>
    <row r="114" spans="2:8" ht="15.75" x14ac:dyDescent="0.25">
      <c r="C114" s="312">
        <v>44453</v>
      </c>
      <c r="D114" s="313" t="s">
        <v>799</v>
      </c>
      <c r="E114" s="314" t="s">
        <v>800</v>
      </c>
      <c r="F114" s="194" t="s">
        <v>524</v>
      </c>
      <c r="G114" s="315">
        <v>407100</v>
      </c>
      <c r="H114" s="103"/>
    </row>
    <row r="115" spans="2:8" ht="15.75" x14ac:dyDescent="0.25">
      <c r="C115" s="312">
        <v>44452</v>
      </c>
      <c r="D115" s="313" t="s">
        <v>801</v>
      </c>
      <c r="E115" s="314" t="s">
        <v>802</v>
      </c>
      <c r="F115" s="194" t="s">
        <v>705</v>
      </c>
      <c r="G115" s="315">
        <v>146788.20000000001</v>
      </c>
      <c r="H115" s="103"/>
    </row>
    <row r="116" spans="2:8" ht="15.75" x14ac:dyDescent="0.25">
      <c r="C116" s="312">
        <v>44455</v>
      </c>
      <c r="D116" s="313" t="s">
        <v>803</v>
      </c>
      <c r="E116" s="314" t="s">
        <v>804</v>
      </c>
      <c r="F116" s="194" t="s">
        <v>796</v>
      </c>
      <c r="G116" s="315">
        <v>164434.16</v>
      </c>
      <c r="H116" s="103"/>
    </row>
    <row r="117" spans="2:8" ht="15.75" x14ac:dyDescent="0.25">
      <c r="C117" s="312">
        <v>43803</v>
      </c>
      <c r="D117" s="313">
        <v>672</v>
      </c>
      <c r="E117" s="314" t="s">
        <v>805</v>
      </c>
      <c r="F117" s="194" t="s">
        <v>537</v>
      </c>
      <c r="G117" s="315">
        <v>35136.550000000003</v>
      </c>
      <c r="H117" s="103"/>
    </row>
    <row r="118" spans="2:8" ht="15.75" x14ac:dyDescent="0.25">
      <c r="C118" s="312">
        <v>43818</v>
      </c>
      <c r="D118" s="313">
        <v>677</v>
      </c>
      <c r="E118" s="314" t="s">
        <v>805</v>
      </c>
      <c r="F118" s="194" t="s">
        <v>537</v>
      </c>
      <c r="G118" s="315">
        <v>35136.550000000003</v>
      </c>
      <c r="H118" s="103"/>
    </row>
    <row r="119" spans="2:8" ht="15.75" x14ac:dyDescent="0.25">
      <c r="C119" s="316" t="s">
        <v>806</v>
      </c>
      <c r="D119" s="317" t="s">
        <v>807</v>
      </c>
      <c r="E119" s="318" t="s">
        <v>808</v>
      </c>
      <c r="F119" s="195" t="s">
        <v>537</v>
      </c>
      <c r="G119" s="315">
        <v>997350</v>
      </c>
      <c r="H119" s="103"/>
    </row>
    <row r="120" spans="2:8" ht="15.75" x14ac:dyDescent="0.25">
      <c r="C120" s="312">
        <v>44433</v>
      </c>
      <c r="D120" s="313" t="s">
        <v>809</v>
      </c>
      <c r="E120" s="314" t="s">
        <v>538</v>
      </c>
      <c r="F120" s="194" t="s">
        <v>524</v>
      </c>
      <c r="G120" s="315">
        <v>753845.6</v>
      </c>
      <c r="H120" s="103"/>
    </row>
    <row r="121" spans="2:8" ht="15.75" x14ac:dyDescent="0.25">
      <c r="C121" s="312">
        <v>44452</v>
      </c>
      <c r="D121" s="313" t="s">
        <v>810</v>
      </c>
      <c r="E121" s="314" t="s">
        <v>538</v>
      </c>
      <c r="F121" s="194" t="s">
        <v>524</v>
      </c>
      <c r="G121" s="315">
        <v>156637.92000000001</v>
      </c>
      <c r="H121" s="103"/>
    </row>
    <row r="122" spans="2:8" ht="15.75" x14ac:dyDescent="0.25">
      <c r="C122" s="312">
        <v>44466</v>
      </c>
      <c r="D122" s="313" t="s">
        <v>811</v>
      </c>
      <c r="E122" s="314" t="s">
        <v>812</v>
      </c>
      <c r="F122" s="194" t="s">
        <v>813</v>
      </c>
      <c r="G122" s="315">
        <v>177000</v>
      </c>
      <c r="H122" s="112"/>
    </row>
    <row r="123" spans="2:8" ht="15.75" x14ac:dyDescent="0.25">
      <c r="C123" s="312">
        <v>44449</v>
      </c>
      <c r="D123" s="313" t="s">
        <v>814</v>
      </c>
      <c r="E123" s="314" t="s">
        <v>584</v>
      </c>
      <c r="F123" s="194" t="s">
        <v>524</v>
      </c>
      <c r="G123" s="315">
        <v>47563.44</v>
      </c>
      <c r="H123" s="112"/>
    </row>
    <row r="124" spans="2:8" ht="15.75" x14ac:dyDescent="0.25">
      <c r="C124" s="312">
        <v>44442</v>
      </c>
      <c r="D124" s="313" t="s">
        <v>720</v>
      </c>
      <c r="E124" s="314" t="s">
        <v>815</v>
      </c>
      <c r="F124" s="194" t="s">
        <v>528</v>
      </c>
      <c r="G124" s="315">
        <v>2979500</v>
      </c>
      <c r="H124" s="112"/>
    </row>
    <row r="125" spans="2:8" ht="15.75" x14ac:dyDescent="0.25">
      <c r="C125" s="312">
        <v>44447</v>
      </c>
      <c r="D125" s="313" t="s">
        <v>816</v>
      </c>
      <c r="E125" s="314" t="s">
        <v>817</v>
      </c>
      <c r="F125" s="194" t="s">
        <v>524</v>
      </c>
      <c r="G125" s="315">
        <v>2711050</v>
      </c>
      <c r="H125" s="112"/>
    </row>
    <row r="126" spans="2:8" ht="15.75" x14ac:dyDescent="0.25">
      <c r="B126" s="226"/>
      <c r="C126" s="312">
        <v>44447</v>
      </c>
      <c r="D126" s="313" t="s">
        <v>818</v>
      </c>
      <c r="E126" s="314" t="s">
        <v>817</v>
      </c>
      <c r="F126" s="194" t="s">
        <v>524</v>
      </c>
      <c r="G126" s="315">
        <v>4135.8999999999996</v>
      </c>
      <c r="H126" s="224"/>
    </row>
    <row r="127" spans="2:8" ht="15.75" x14ac:dyDescent="0.25">
      <c r="B127" s="226"/>
      <c r="C127" s="312">
        <v>44447</v>
      </c>
      <c r="D127" s="313" t="s">
        <v>819</v>
      </c>
      <c r="E127" s="314" t="s">
        <v>817</v>
      </c>
      <c r="F127" s="194" t="s">
        <v>524</v>
      </c>
      <c r="G127" s="315">
        <v>130371.12</v>
      </c>
      <c r="H127" s="224"/>
    </row>
    <row r="128" spans="2:8" ht="15.75" x14ac:dyDescent="0.25">
      <c r="B128" s="226"/>
      <c r="C128" s="312">
        <v>44447</v>
      </c>
      <c r="D128" s="313" t="s">
        <v>820</v>
      </c>
      <c r="E128" s="314" t="s">
        <v>817</v>
      </c>
      <c r="F128" s="194" t="s">
        <v>524</v>
      </c>
      <c r="G128" s="315">
        <v>429302.88</v>
      </c>
      <c r="H128" s="224"/>
    </row>
    <row r="129" spans="2:8" ht="15.75" x14ac:dyDescent="0.25">
      <c r="B129" s="226"/>
      <c r="C129" s="312">
        <v>44447</v>
      </c>
      <c r="D129" s="313" t="s">
        <v>821</v>
      </c>
      <c r="E129" s="314" t="s">
        <v>817</v>
      </c>
      <c r="F129" s="194" t="s">
        <v>524</v>
      </c>
      <c r="G129" s="315">
        <v>544070.86</v>
      </c>
      <c r="H129" s="224"/>
    </row>
    <row r="130" spans="2:8" ht="15.75" x14ac:dyDescent="0.25">
      <c r="B130" s="226"/>
      <c r="C130" s="312">
        <v>44412</v>
      </c>
      <c r="D130" s="313" t="s">
        <v>822</v>
      </c>
      <c r="E130" s="314" t="s">
        <v>823</v>
      </c>
      <c r="F130" s="194" t="s">
        <v>824</v>
      </c>
      <c r="G130" s="315">
        <v>91568</v>
      </c>
      <c r="H130" s="224"/>
    </row>
    <row r="131" spans="2:8" ht="15.75" x14ac:dyDescent="0.25">
      <c r="B131" s="226"/>
      <c r="C131" s="312">
        <v>44454</v>
      </c>
      <c r="D131" s="313" t="s">
        <v>825</v>
      </c>
      <c r="E131" s="314" t="s">
        <v>826</v>
      </c>
      <c r="F131" s="194" t="s">
        <v>524</v>
      </c>
      <c r="G131" s="315">
        <v>1877999.5</v>
      </c>
      <c r="H131" s="187"/>
    </row>
    <row r="132" spans="2:8" ht="15.75" x14ac:dyDescent="0.25">
      <c r="B132" s="226"/>
      <c r="C132" s="312">
        <v>44180</v>
      </c>
      <c r="D132" s="313" t="s">
        <v>827</v>
      </c>
      <c r="E132" s="314" t="s">
        <v>828</v>
      </c>
      <c r="F132" s="194" t="s">
        <v>524</v>
      </c>
      <c r="G132" s="315">
        <v>22755.68</v>
      </c>
      <c r="H132" s="224"/>
    </row>
    <row r="133" spans="2:8" ht="15.75" x14ac:dyDescent="0.25">
      <c r="B133" s="226"/>
      <c r="C133" s="312">
        <v>44378</v>
      </c>
      <c r="D133" s="313" t="s">
        <v>829</v>
      </c>
      <c r="E133" s="314" t="s">
        <v>828</v>
      </c>
      <c r="F133" s="194" t="s">
        <v>670</v>
      </c>
      <c r="G133" s="315">
        <v>19021.599999999999</v>
      </c>
      <c r="H133" s="224"/>
    </row>
    <row r="134" spans="2:8" ht="15.75" x14ac:dyDescent="0.25">
      <c r="C134" s="312">
        <v>43206</v>
      </c>
      <c r="D134" s="313">
        <v>70</v>
      </c>
      <c r="E134" s="314" t="s">
        <v>830</v>
      </c>
      <c r="F134" s="194" t="s">
        <v>524</v>
      </c>
      <c r="G134" s="315">
        <v>93600</v>
      </c>
      <c r="H134" s="103"/>
    </row>
    <row r="135" spans="2:8" ht="15.75" x14ac:dyDescent="0.25">
      <c r="C135" s="312">
        <v>43455</v>
      </c>
      <c r="D135" s="313">
        <v>71</v>
      </c>
      <c r="E135" s="314" t="s">
        <v>830</v>
      </c>
      <c r="F135" s="194" t="s">
        <v>524</v>
      </c>
      <c r="G135" s="315">
        <v>93600</v>
      </c>
      <c r="H135" s="112"/>
    </row>
    <row r="136" spans="2:8" ht="15.75" x14ac:dyDescent="0.25">
      <c r="C136" s="312">
        <v>44459</v>
      </c>
      <c r="D136" s="313" t="s">
        <v>831</v>
      </c>
      <c r="E136" s="314" t="s">
        <v>539</v>
      </c>
      <c r="F136" s="194" t="s">
        <v>537</v>
      </c>
      <c r="G136" s="315">
        <v>145000</v>
      </c>
      <c r="H136" s="112"/>
    </row>
    <row r="137" spans="2:8" ht="15.75" x14ac:dyDescent="0.25">
      <c r="C137" s="312">
        <v>44404</v>
      </c>
      <c r="D137" s="313" t="s">
        <v>832</v>
      </c>
      <c r="E137" s="314" t="s">
        <v>540</v>
      </c>
      <c r="F137" s="194" t="s">
        <v>537</v>
      </c>
      <c r="G137" s="315">
        <v>1880000</v>
      </c>
      <c r="H137" s="112"/>
    </row>
    <row r="138" spans="2:8" ht="15.75" x14ac:dyDescent="0.25">
      <c r="C138" s="312">
        <v>44460</v>
      </c>
      <c r="D138" s="313" t="s">
        <v>833</v>
      </c>
      <c r="E138" s="314" t="s">
        <v>540</v>
      </c>
      <c r="F138" s="194" t="s">
        <v>537</v>
      </c>
      <c r="G138" s="315">
        <v>151500</v>
      </c>
      <c r="H138" s="112"/>
    </row>
    <row r="139" spans="2:8" ht="15.75" x14ac:dyDescent="0.25">
      <c r="C139" s="312">
        <v>44449</v>
      </c>
      <c r="D139" s="313" t="s">
        <v>834</v>
      </c>
      <c r="E139" s="314" t="s">
        <v>835</v>
      </c>
      <c r="F139" s="194" t="s">
        <v>524</v>
      </c>
      <c r="G139" s="315">
        <v>118000</v>
      </c>
      <c r="H139" s="112"/>
    </row>
    <row r="140" spans="2:8" ht="15.75" x14ac:dyDescent="0.25">
      <c r="C140" s="312">
        <v>44442</v>
      </c>
      <c r="D140" s="313" t="s">
        <v>836</v>
      </c>
      <c r="E140" s="314" t="s">
        <v>837</v>
      </c>
      <c r="F140" s="194" t="s">
        <v>524</v>
      </c>
      <c r="G140" s="315">
        <v>41300</v>
      </c>
      <c r="H140" s="112"/>
    </row>
    <row r="141" spans="2:8" ht="15.75" x14ac:dyDescent="0.25">
      <c r="C141" s="312">
        <v>44445</v>
      </c>
      <c r="D141" s="313" t="s">
        <v>838</v>
      </c>
      <c r="E141" s="314" t="s">
        <v>837</v>
      </c>
      <c r="F141" s="194" t="s">
        <v>524</v>
      </c>
      <c r="G141" s="315">
        <v>735040</v>
      </c>
      <c r="H141" s="112"/>
    </row>
    <row r="142" spans="2:8" ht="15.75" x14ac:dyDescent="0.25">
      <c r="C142" s="312">
        <v>44323</v>
      </c>
      <c r="D142" s="313" t="s">
        <v>839</v>
      </c>
      <c r="E142" s="314" t="s">
        <v>541</v>
      </c>
      <c r="F142" s="194" t="s">
        <v>524</v>
      </c>
      <c r="G142" s="315">
        <v>43309.99</v>
      </c>
      <c r="H142" s="112"/>
    </row>
    <row r="143" spans="2:8" ht="15.75" x14ac:dyDescent="0.25">
      <c r="C143" s="312">
        <v>44431</v>
      </c>
      <c r="D143" s="313" t="s">
        <v>840</v>
      </c>
      <c r="E143" s="314" t="s">
        <v>541</v>
      </c>
      <c r="F143" s="194" t="s">
        <v>841</v>
      </c>
      <c r="G143" s="315">
        <v>1873140</v>
      </c>
      <c r="H143" s="112"/>
    </row>
    <row r="144" spans="2:8" ht="15.75" x14ac:dyDescent="0.25">
      <c r="C144" s="312">
        <v>44433</v>
      </c>
      <c r="D144" s="313" t="s">
        <v>842</v>
      </c>
      <c r="E144" s="314" t="s">
        <v>541</v>
      </c>
      <c r="F144" s="194" t="s">
        <v>524</v>
      </c>
      <c r="G144" s="315">
        <v>56009.99</v>
      </c>
      <c r="H144" s="112"/>
    </row>
    <row r="145" spans="3:8" ht="15.75" x14ac:dyDescent="0.25">
      <c r="C145" s="312">
        <v>44445</v>
      </c>
      <c r="D145" s="313" t="s">
        <v>843</v>
      </c>
      <c r="E145" s="314" t="s">
        <v>844</v>
      </c>
      <c r="F145" s="194" t="s">
        <v>845</v>
      </c>
      <c r="G145" s="315">
        <v>257712</v>
      </c>
      <c r="H145" s="112"/>
    </row>
    <row r="146" spans="3:8" ht="15.75" x14ac:dyDescent="0.25">
      <c r="C146" s="312">
        <v>44439</v>
      </c>
      <c r="D146" s="313" t="s">
        <v>846</v>
      </c>
      <c r="E146" s="314" t="s">
        <v>847</v>
      </c>
      <c r="F146" s="194" t="s">
        <v>524</v>
      </c>
      <c r="G146" s="315">
        <v>1012288.96</v>
      </c>
      <c r="H146" s="112"/>
    </row>
    <row r="147" spans="3:8" ht="15.75" x14ac:dyDescent="0.25">
      <c r="C147" s="312">
        <v>44441</v>
      </c>
      <c r="D147" s="313" t="s">
        <v>848</v>
      </c>
      <c r="E147" s="314" t="s">
        <v>847</v>
      </c>
      <c r="F147" s="194" t="s">
        <v>524</v>
      </c>
      <c r="G147" s="315">
        <v>826295</v>
      </c>
      <c r="H147" s="112"/>
    </row>
    <row r="148" spans="3:8" ht="15.75" x14ac:dyDescent="0.25">
      <c r="C148" s="312">
        <v>44468</v>
      </c>
      <c r="D148" s="313" t="s">
        <v>849</v>
      </c>
      <c r="E148" s="314" t="s">
        <v>847</v>
      </c>
      <c r="F148" s="194" t="s">
        <v>524</v>
      </c>
      <c r="G148" s="315">
        <v>383500</v>
      </c>
      <c r="H148" s="112"/>
    </row>
    <row r="149" spans="3:8" ht="15.75" x14ac:dyDescent="0.25">
      <c r="C149" s="312">
        <v>44446</v>
      </c>
      <c r="D149" s="313" t="s">
        <v>850</v>
      </c>
      <c r="E149" s="314" t="s">
        <v>851</v>
      </c>
      <c r="F149" s="194" t="s">
        <v>852</v>
      </c>
      <c r="G149" s="315">
        <v>2360</v>
      </c>
      <c r="H149" s="112"/>
    </row>
    <row r="150" spans="3:8" ht="15.75" x14ac:dyDescent="0.25">
      <c r="C150" s="312">
        <v>44033</v>
      </c>
      <c r="D150" s="313" t="s">
        <v>853</v>
      </c>
      <c r="E150" s="314" t="s">
        <v>542</v>
      </c>
      <c r="F150" s="194" t="s">
        <v>524</v>
      </c>
      <c r="G150" s="315">
        <v>6424</v>
      </c>
      <c r="H150" s="112"/>
    </row>
    <row r="151" spans="3:8" ht="15.75" x14ac:dyDescent="0.25">
      <c r="C151" s="312">
        <v>44075</v>
      </c>
      <c r="D151" s="313" t="s">
        <v>718</v>
      </c>
      <c r="E151" s="314" t="s">
        <v>542</v>
      </c>
      <c r="F151" s="194" t="s">
        <v>524</v>
      </c>
      <c r="G151" s="315">
        <v>84897.5</v>
      </c>
      <c r="H151" s="112"/>
    </row>
    <row r="152" spans="3:8" ht="15.75" x14ac:dyDescent="0.25">
      <c r="C152" s="312">
        <v>44165</v>
      </c>
      <c r="D152" s="313" t="s">
        <v>854</v>
      </c>
      <c r="E152" s="314" t="s">
        <v>542</v>
      </c>
      <c r="F152" s="194" t="s">
        <v>524</v>
      </c>
      <c r="G152" s="315">
        <v>19305</v>
      </c>
      <c r="H152" s="112"/>
    </row>
    <row r="153" spans="3:8" ht="15.75" x14ac:dyDescent="0.25">
      <c r="C153" s="312">
        <v>44209</v>
      </c>
      <c r="D153" s="313" t="s">
        <v>855</v>
      </c>
      <c r="E153" s="314" t="s">
        <v>542</v>
      </c>
      <c r="F153" s="194" t="s">
        <v>524</v>
      </c>
      <c r="G153" s="315">
        <v>84825</v>
      </c>
      <c r="H153" s="112"/>
    </row>
    <row r="154" spans="3:8" ht="15.75" x14ac:dyDescent="0.25">
      <c r="C154" s="316">
        <v>43840</v>
      </c>
      <c r="D154" s="317" t="s">
        <v>856</v>
      </c>
      <c r="E154" s="318" t="s">
        <v>544</v>
      </c>
      <c r="F154" s="195" t="s">
        <v>537</v>
      </c>
      <c r="G154" s="315">
        <v>980000</v>
      </c>
      <c r="H154" s="112"/>
    </row>
    <row r="155" spans="3:8" ht="15.75" x14ac:dyDescent="0.25">
      <c r="C155" s="316" t="s">
        <v>857</v>
      </c>
      <c r="D155" s="317" t="s">
        <v>858</v>
      </c>
      <c r="E155" s="318" t="s">
        <v>544</v>
      </c>
      <c r="F155" s="195" t="s">
        <v>537</v>
      </c>
      <c r="G155" s="315">
        <v>150000</v>
      </c>
      <c r="H155" s="112"/>
    </row>
    <row r="156" spans="3:8" ht="15.75" x14ac:dyDescent="0.25">
      <c r="C156" s="316" t="s">
        <v>857</v>
      </c>
      <c r="D156" s="317" t="s">
        <v>859</v>
      </c>
      <c r="E156" s="318" t="s">
        <v>544</v>
      </c>
      <c r="F156" s="195" t="s">
        <v>537</v>
      </c>
      <c r="G156" s="315">
        <v>1750000</v>
      </c>
      <c r="H156" s="112"/>
    </row>
    <row r="157" spans="3:8" ht="15.75" x14ac:dyDescent="0.25">
      <c r="C157" s="312">
        <v>44397</v>
      </c>
      <c r="D157" s="313" t="s">
        <v>860</v>
      </c>
      <c r="E157" s="314" t="s">
        <v>861</v>
      </c>
      <c r="F157" s="194" t="s">
        <v>862</v>
      </c>
      <c r="G157" s="315">
        <v>60069.65</v>
      </c>
      <c r="H157" s="112"/>
    </row>
    <row r="158" spans="3:8" ht="15.75" x14ac:dyDescent="0.25">
      <c r="C158" s="312">
        <v>44215</v>
      </c>
      <c r="D158" s="313" t="s">
        <v>863</v>
      </c>
      <c r="E158" s="314" t="s">
        <v>864</v>
      </c>
      <c r="F158" s="194" t="s">
        <v>865</v>
      </c>
      <c r="G158" s="315">
        <v>150528.82</v>
      </c>
      <c r="H158" s="112"/>
    </row>
    <row r="159" spans="3:8" ht="15.75" x14ac:dyDescent="0.25">
      <c r="C159" s="312">
        <v>44307</v>
      </c>
      <c r="D159" s="313" t="s">
        <v>866</v>
      </c>
      <c r="E159" s="314" t="s">
        <v>864</v>
      </c>
      <c r="F159" s="194" t="s">
        <v>867</v>
      </c>
      <c r="G159" s="315">
        <v>5074</v>
      </c>
      <c r="H159" s="112"/>
    </row>
    <row r="160" spans="3:8" ht="15.75" x14ac:dyDescent="0.25">
      <c r="C160" s="312">
        <v>44307</v>
      </c>
      <c r="D160" s="313" t="s">
        <v>868</v>
      </c>
      <c r="E160" s="314" t="s">
        <v>864</v>
      </c>
      <c r="F160" s="194" t="s">
        <v>767</v>
      </c>
      <c r="G160" s="315">
        <v>5310</v>
      </c>
      <c r="H160" s="112"/>
    </row>
    <row r="161" spans="3:8" ht="15.75" x14ac:dyDescent="0.25">
      <c r="C161" s="312">
        <v>44322</v>
      </c>
      <c r="D161" s="313" t="s">
        <v>869</v>
      </c>
      <c r="E161" s="314" t="s">
        <v>864</v>
      </c>
      <c r="F161" s="194" t="s">
        <v>767</v>
      </c>
      <c r="G161" s="315">
        <v>112100</v>
      </c>
      <c r="H161" s="112"/>
    </row>
    <row r="162" spans="3:8" ht="15.75" x14ac:dyDescent="0.25">
      <c r="C162" s="312">
        <v>44365</v>
      </c>
      <c r="D162" s="313" t="s">
        <v>870</v>
      </c>
      <c r="E162" s="314" t="s">
        <v>864</v>
      </c>
      <c r="F162" s="194" t="s">
        <v>865</v>
      </c>
      <c r="G162" s="315">
        <v>4720</v>
      </c>
      <c r="H162" s="112"/>
    </row>
    <row r="163" spans="3:8" ht="15.75" x14ac:dyDescent="0.25">
      <c r="C163" s="312">
        <v>44365</v>
      </c>
      <c r="D163" s="313" t="s">
        <v>871</v>
      </c>
      <c r="E163" s="314" t="s">
        <v>864</v>
      </c>
      <c r="F163" s="194" t="s">
        <v>865</v>
      </c>
      <c r="G163" s="315">
        <v>4720</v>
      </c>
      <c r="H163" s="112"/>
    </row>
    <row r="164" spans="3:8" ht="15.75" x14ac:dyDescent="0.25">
      <c r="C164" s="312">
        <v>44365</v>
      </c>
      <c r="D164" s="313" t="s">
        <v>872</v>
      </c>
      <c r="E164" s="314" t="s">
        <v>864</v>
      </c>
      <c r="F164" s="194" t="s">
        <v>865</v>
      </c>
      <c r="G164" s="315">
        <v>4720</v>
      </c>
      <c r="H164" s="112"/>
    </row>
    <row r="165" spans="3:8" ht="15.75" x14ac:dyDescent="0.25">
      <c r="C165" s="312">
        <v>44392</v>
      </c>
      <c r="D165" s="313" t="s">
        <v>873</v>
      </c>
      <c r="E165" s="314" t="s">
        <v>864</v>
      </c>
      <c r="F165" s="194" t="s">
        <v>865</v>
      </c>
      <c r="G165" s="315">
        <v>89056.960000000006</v>
      </c>
      <c r="H165" s="112"/>
    </row>
    <row r="166" spans="3:8" ht="15.75" x14ac:dyDescent="0.25">
      <c r="C166" s="312">
        <v>44392</v>
      </c>
      <c r="D166" s="313" t="s">
        <v>874</v>
      </c>
      <c r="E166" s="314" t="s">
        <v>864</v>
      </c>
      <c r="F166" s="194" t="s">
        <v>865</v>
      </c>
      <c r="G166" s="315">
        <v>17700</v>
      </c>
      <c r="H166" s="112"/>
    </row>
    <row r="167" spans="3:8" ht="15.75" x14ac:dyDescent="0.25">
      <c r="C167" s="312">
        <v>44392</v>
      </c>
      <c r="D167" s="313" t="s">
        <v>875</v>
      </c>
      <c r="E167" s="314" t="s">
        <v>864</v>
      </c>
      <c r="F167" s="194" t="s">
        <v>865</v>
      </c>
      <c r="G167" s="315">
        <v>11800</v>
      </c>
      <c r="H167" s="112"/>
    </row>
    <row r="168" spans="3:8" ht="15.75" x14ac:dyDescent="0.25">
      <c r="C168" s="312">
        <v>44392</v>
      </c>
      <c r="D168" s="313" t="s">
        <v>876</v>
      </c>
      <c r="E168" s="314" t="s">
        <v>864</v>
      </c>
      <c r="F168" s="194" t="s">
        <v>865</v>
      </c>
      <c r="G168" s="315">
        <v>158848.06</v>
      </c>
      <c r="H168" s="112"/>
    </row>
    <row r="169" spans="3:8" ht="15.75" x14ac:dyDescent="0.25">
      <c r="C169" s="312">
        <v>44392</v>
      </c>
      <c r="D169" s="313" t="s">
        <v>877</v>
      </c>
      <c r="E169" s="314" t="s">
        <v>864</v>
      </c>
      <c r="F169" s="194" t="s">
        <v>865</v>
      </c>
      <c r="G169" s="315">
        <v>158848.06</v>
      </c>
      <c r="H169" s="112"/>
    </row>
    <row r="170" spans="3:8" ht="15.75" x14ac:dyDescent="0.25">
      <c r="C170" s="312">
        <v>44392</v>
      </c>
      <c r="D170" s="313" t="s">
        <v>878</v>
      </c>
      <c r="E170" s="314" t="s">
        <v>864</v>
      </c>
      <c r="F170" s="194" t="s">
        <v>865</v>
      </c>
      <c r="G170" s="315">
        <v>107050.78</v>
      </c>
      <c r="H170" s="112"/>
    </row>
    <row r="171" spans="3:8" ht="15.75" x14ac:dyDescent="0.25">
      <c r="C171" s="312">
        <v>44392</v>
      </c>
      <c r="D171" s="313" t="s">
        <v>879</v>
      </c>
      <c r="E171" s="314" t="s">
        <v>864</v>
      </c>
      <c r="F171" s="194" t="s">
        <v>865</v>
      </c>
      <c r="G171" s="315">
        <v>416564.78</v>
      </c>
      <c r="H171" s="112"/>
    </row>
    <row r="172" spans="3:8" ht="15.75" x14ac:dyDescent="0.25">
      <c r="C172" s="312">
        <v>44442</v>
      </c>
      <c r="D172" s="313" t="s">
        <v>880</v>
      </c>
      <c r="E172" s="314" t="s">
        <v>864</v>
      </c>
      <c r="F172" s="194" t="s">
        <v>881</v>
      </c>
      <c r="G172" s="315">
        <v>606956.6</v>
      </c>
      <c r="H172" s="112"/>
    </row>
    <row r="173" spans="3:8" ht="15.75" x14ac:dyDescent="0.25">
      <c r="C173" s="312">
        <v>44449</v>
      </c>
      <c r="D173" s="313" t="s">
        <v>882</v>
      </c>
      <c r="E173" s="314" t="s">
        <v>864</v>
      </c>
      <c r="F173" s="194" t="s">
        <v>524</v>
      </c>
      <c r="G173" s="315">
        <v>276096.40000000002</v>
      </c>
      <c r="H173" s="112"/>
    </row>
    <row r="174" spans="3:8" ht="15.75" x14ac:dyDescent="0.25">
      <c r="C174" s="312">
        <v>44449</v>
      </c>
      <c r="D174" s="313" t="s">
        <v>883</v>
      </c>
      <c r="E174" s="314" t="s">
        <v>864</v>
      </c>
      <c r="F174" s="194" t="s">
        <v>524</v>
      </c>
      <c r="G174" s="315">
        <v>70641.88</v>
      </c>
      <c r="H174" s="112"/>
    </row>
    <row r="175" spans="3:8" ht="15.75" x14ac:dyDescent="0.25">
      <c r="C175" s="312">
        <v>44449</v>
      </c>
      <c r="D175" s="313" t="s">
        <v>884</v>
      </c>
      <c r="E175" s="314" t="s">
        <v>864</v>
      </c>
      <c r="F175" s="194" t="s">
        <v>524</v>
      </c>
      <c r="G175" s="315">
        <v>276096.40000000002</v>
      </c>
      <c r="H175" s="112"/>
    </row>
    <row r="176" spans="3:8" ht="15.75" x14ac:dyDescent="0.25">
      <c r="C176" s="312">
        <v>44449</v>
      </c>
      <c r="D176" s="313" t="s">
        <v>885</v>
      </c>
      <c r="E176" s="314" t="s">
        <v>864</v>
      </c>
      <c r="F176" s="194" t="s">
        <v>524</v>
      </c>
      <c r="G176" s="315">
        <v>70641.88</v>
      </c>
      <c r="H176" s="112"/>
    </row>
    <row r="177" spans="3:8" ht="15.75" x14ac:dyDescent="0.25">
      <c r="C177" s="312">
        <v>44449</v>
      </c>
      <c r="D177" s="313" t="s">
        <v>886</v>
      </c>
      <c r="E177" s="314" t="s">
        <v>864</v>
      </c>
      <c r="F177" s="194" t="s">
        <v>524</v>
      </c>
      <c r="G177" s="315">
        <v>264296.40000000002</v>
      </c>
      <c r="H177" s="112"/>
    </row>
    <row r="178" spans="3:8" ht="15.75" x14ac:dyDescent="0.25">
      <c r="C178" s="312">
        <v>44449</v>
      </c>
      <c r="D178" s="313" t="s">
        <v>887</v>
      </c>
      <c r="E178" s="314" t="s">
        <v>864</v>
      </c>
      <c r="F178" s="194" t="s">
        <v>524</v>
      </c>
      <c r="G178" s="315">
        <v>217254.52</v>
      </c>
      <c r="H178" s="112"/>
    </row>
    <row r="179" spans="3:8" ht="15.75" x14ac:dyDescent="0.25">
      <c r="C179" s="312">
        <v>44449</v>
      </c>
      <c r="D179" s="313" t="s">
        <v>888</v>
      </c>
      <c r="E179" s="314" t="s">
        <v>864</v>
      </c>
      <c r="F179" s="194" t="s">
        <v>524</v>
      </c>
      <c r="G179" s="315">
        <v>217254.52</v>
      </c>
      <c r="H179" s="112"/>
    </row>
    <row r="180" spans="3:8" ht="15.75" x14ac:dyDescent="0.25">
      <c r="C180" s="312">
        <v>44449</v>
      </c>
      <c r="D180" s="313" t="s">
        <v>889</v>
      </c>
      <c r="E180" s="314" t="s">
        <v>864</v>
      </c>
      <c r="F180" s="194" t="s">
        <v>865</v>
      </c>
      <c r="G180" s="315">
        <v>8850</v>
      </c>
      <c r="H180" s="112"/>
    </row>
    <row r="181" spans="3:8" ht="15.75" x14ac:dyDescent="0.25">
      <c r="C181" s="312">
        <v>44449</v>
      </c>
      <c r="D181" s="313" t="s">
        <v>890</v>
      </c>
      <c r="E181" s="314" t="s">
        <v>864</v>
      </c>
      <c r="F181" s="194" t="s">
        <v>865</v>
      </c>
      <c r="G181" s="315">
        <v>28910</v>
      </c>
      <c r="H181" s="112"/>
    </row>
    <row r="182" spans="3:8" ht="15.75" x14ac:dyDescent="0.25">
      <c r="C182" s="312">
        <v>44449</v>
      </c>
      <c r="D182" s="313" t="s">
        <v>891</v>
      </c>
      <c r="E182" s="314" t="s">
        <v>864</v>
      </c>
      <c r="F182" s="194" t="s">
        <v>865</v>
      </c>
      <c r="G182" s="315">
        <v>8850</v>
      </c>
      <c r="H182" s="112"/>
    </row>
    <row r="183" spans="3:8" ht="15.75" x14ac:dyDescent="0.25">
      <c r="C183" s="312">
        <v>44449</v>
      </c>
      <c r="D183" s="313" t="s">
        <v>892</v>
      </c>
      <c r="E183" s="314" t="s">
        <v>864</v>
      </c>
      <c r="F183" s="194" t="s">
        <v>865</v>
      </c>
      <c r="G183" s="315">
        <v>8850</v>
      </c>
      <c r="H183" s="112"/>
    </row>
    <row r="184" spans="3:8" ht="15.75" x14ac:dyDescent="0.25">
      <c r="C184" s="312">
        <v>44449</v>
      </c>
      <c r="D184" s="313" t="s">
        <v>893</v>
      </c>
      <c r="E184" s="314" t="s">
        <v>864</v>
      </c>
      <c r="F184" s="194" t="s">
        <v>865</v>
      </c>
      <c r="G184" s="315">
        <v>5900</v>
      </c>
      <c r="H184" s="112"/>
    </row>
    <row r="185" spans="3:8" ht="15.75" x14ac:dyDescent="0.25">
      <c r="C185" s="312">
        <v>44449</v>
      </c>
      <c r="D185" s="313" t="s">
        <v>894</v>
      </c>
      <c r="E185" s="314" t="s">
        <v>864</v>
      </c>
      <c r="F185" s="194" t="s">
        <v>865</v>
      </c>
      <c r="G185" s="315">
        <v>5900</v>
      </c>
      <c r="H185" s="112"/>
    </row>
    <row r="186" spans="3:8" ht="15.75" x14ac:dyDescent="0.25">
      <c r="C186" s="312">
        <v>44449</v>
      </c>
      <c r="D186" s="313" t="s">
        <v>895</v>
      </c>
      <c r="E186" s="314" t="s">
        <v>864</v>
      </c>
      <c r="F186" s="194" t="s">
        <v>865</v>
      </c>
      <c r="G186" s="315">
        <v>8850</v>
      </c>
      <c r="H186" s="112"/>
    </row>
    <row r="187" spans="3:8" ht="15.75" x14ac:dyDescent="0.25">
      <c r="C187" s="312">
        <v>44449</v>
      </c>
      <c r="D187" s="313" t="s">
        <v>896</v>
      </c>
      <c r="E187" s="314" t="s">
        <v>864</v>
      </c>
      <c r="F187" s="194" t="s">
        <v>865</v>
      </c>
      <c r="G187" s="315">
        <v>8850</v>
      </c>
      <c r="H187" s="112"/>
    </row>
    <row r="188" spans="3:8" ht="15.75" x14ac:dyDescent="0.25">
      <c r="C188" s="312">
        <v>44417</v>
      </c>
      <c r="D188" s="313" t="s">
        <v>897</v>
      </c>
      <c r="E188" s="314" t="s">
        <v>545</v>
      </c>
      <c r="F188" s="194" t="s">
        <v>524</v>
      </c>
      <c r="G188" s="315">
        <v>188800</v>
      </c>
      <c r="H188" s="112"/>
    </row>
    <row r="189" spans="3:8" ht="15.75" x14ac:dyDescent="0.25">
      <c r="C189" s="312">
        <v>44417</v>
      </c>
      <c r="D189" s="313" t="s">
        <v>898</v>
      </c>
      <c r="E189" s="314" t="s">
        <v>545</v>
      </c>
      <c r="F189" s="194" t="s">
        <v>524</v>
      </c>
      <c r="G189" s="315">
        <v>92800</v>
      </c>
      <c r="H189" s="112"/>
    </row>
    <row r="190" spans="3:8" ht="15.75" x14ac:dyDescent="0.25">
      <c r="C190" s="312">
        <v>44417</v>
      </c>
      <c r="D190" s="313" t="s">
        <v>899</v>
      </c>
      <c r="E190" s="314" t="s">
        <v>545</v>
      </c>
      <c r="F190" s="194" t="s">
        <v>524</v>
      </c>
      <c r="G190" s="315">
        <v>188800</v>
      </c>
      <c r="H190" s="112"/>
    </row>
    <row r="191" spans="3:8" ht="15.75" x14ac:dyDescent="0.25">
      <c r="C191" s="312">
        <v>44417</v>
      </c>
      <c r="D191" s="313" t="s">
        <v>900</v>
      </c>
      <c r="E191" s="314" t="s">
        <v>545</v>
      </c>
      <c r="F191" s="194" t="s">
        <v>524</v>
      </c>
      <c r="G191" s="315">
        <v>188800</v>
      </c>
      <c r="H191" s="112"/>
    </row>
    <row r="192" spans="3:8" ht="15.75" x14ac:dyDescent="0.25">
      <c r="C192" s="312">
        <v>44278</v>
      </c>
      <c r="D192" s="313" t="s">
        <v>901</v>
      </c>
      <c r="E192" s="314" t="s">
        <v>902</v>
      </c>
      <c r="F192" s="194" t="s">
        <v>524</v>
      </c>
      <c r="G192" s="315">
        <v>89970</v>
      </c>
      <c r="H192" s="112"/>
    </row>
    <row r="193" spans="3:8" ht="15.75" x14ac:dyDescent="0.25">
      <c r="C193" s="312">
        <v>44278</v>
      </c>
      <c r="D193" s="313" t="s">
        <v>903</v>
      </c>
      <c r="E193" s="314" t="s">
        <v>902</v>
      </c>
      <c r="F193" s="194" t="s">
        <v>705</v>
      </c>
      <c r="G193" s="315">
        <v>283278</v>
      </c>
      <c r="H193" s="112"/>
    </row>
    <row r="194" spans="3:8" ht="15.75" x14ac:dyDescent="0.25">
      <c r="C194" s="312">
        <v>44326</v>
      </c>
      <c r="D194" s="313" t="s">
        <v>904</v>
      </c>
      <c r="E194" s="314" t="s">
        <v>902</v>
      </c>
      <c r="F194" s="194" t="s">
        <v>705</v>
      </c>
      <c r="G194" s="315">
        <v>25965</v>
      </c>
      <c r="H194" s="112"/>
    </row>
    <row r="195" spans="3:8" ht="15.75" x14ac:dyDescent="0.25">
      <c r="C195" s="312">
        <v>44343</v>
      </c>
      <c r="D195" s="313" t="s">
        <v>905</v>
      </c>
      <c r="E195" s="314" t="s">
        <v>902</v>
      </c>
      <c r="F195" s="194" t="s">
        <v>524</v>
      </c>
      <c r="G195" s="315">
        <v>90692</v>
      </c>
      <c r="H195" s="112"/>
    </row>
    <row r="196" spans="3:8" ht="15.75" x14ac:dyDescent="0.25">
      <c r="C196" s="312">
        <v>44343</v>
      </c>
      <c r="D196" s="313" t="s">
        <v>906</v>
      </c>
      <c r="E196" s="314" t="s">
        <v>902</v>
      </c>
      <c r="F196" s="194" t="s">
        <v>524</v>
      </c>
      <c r="G196" s="315">
        <v>104800</v>
      </c>
      <c r="H196" s="112"/>
    </row>
    <row r="197" spans="3:8" ht="15.75" x14ac:dyDescent="0.25">
      <c r="C197" s="312">
        <v>44345</v>
      </c>
      <c r="D197" s="313" t="s">
        <v>907</v>
      </c>
      <c r="E197" s="314" t="s">
        <v>902</v>
      </c>
      <c r="F197" s="194" t="s">
        <v>524</v>
      </c>
      <c r="G197" s="315">
        <v>1786800</v>
      </c>
      <c r="H197" s="112"/>
    </row>
    <row r="198" spans="3:8" ht="15.75" x14ac:dyDescent="0.25">
      <c r="C198" s="312">
        <v>44434</v>
      </c>
      <c r="D198" s="313" t="s">
        <v>908</v>
      </c>
      <c r="E198" s="314" t="s">
        <v>902</v>
      </c>
      <c r="F198" s="194" t="s">
        <v>524</v>
      </c>
      <c r="G198" s="315">
        <v>122959.5</v>
      </c>
      <c r="H198" s="112"/>
    </row>
    <row r="199" spans="3:8" ht="15.75" x14ac:dyDescent="0.25">
      <c r="C199" s="312">
        <v>44456</v>
      </c>
      <c r="D199" s="313" t="s">
        <v>909</v>
      </c>
      <c r="E199" s="314" t="s">
        <v>902</v>
      </c>
      <c r="F199" s="194" t="s">
        <v>705</v>
      </c>
      <c r="G199" s="315">
        <v>13500</v>
      </c>
      <c r="H199" s="112"/>
    </row>
    <row r="200" spans="3:8" ht="15.75" x14ac:dyDescent="0.25">
      <c r="C200" s="312">
        <v>44459</v>
      </c>
      <c r="D200" s="313" t="s">
        <v>910</v>
      </c>
      <c r="E200" s="314" t="s">
        <v>902</v>
      </c>
      <c r="F200" s="194" t="s">
        <v>705</v>
      </c>
      <c r="G200" s="315">
        <v>155735</v>
      </c>
      <c r="H200" s="112"/>
    </row>
    <row r="201" spans="3:8" ht="15.75" x14ac:dyDescent="0.25">
      <c r="C201" s="312">
        <v>44468</v>
      </c>
      <c r="D201" s="313" t="s">
        <v>911</v>
      </c>
      <c r="E201" s="314" t="s">
        <v>902</v>
      </c>
      <c r="F201" s="194" t="s">
        <v>912</v>
      </c>
      <c r="G201" s="315">
        <v>1699200</v>
      </c>
      <c r="H201" s="112"/>
    </row>
    <row r="202" spans="3:8" ht="15.75" x14ac:dyDescent="0.25">
      <c r="C202" s="312">
        <v>44450</v>
      </c>
      <c r="D202" s="313" t="s">
        <v>913</v>
      </c>
      <c r="E202" s="314" t="s">
        <v>546</v>
      </c>
      <c r="F202" s="194" t="s">
        <v>537</v>
      </c>
      <c r="G202" s="315">
        <v>134498</v>
      </c>
      <c r="H202" s="112"/>
    </row>
    <row r="203" spans="3:8" ht="15.75" x14ac:dyDescent="0.25">
      <c r="C203" s="312">
        <v>44105</v>
      </c>
      <c r="D203" s="313" t="s">
        <v>914</v>
      </c>
      <c r="E203" s="314" t="s">
        <v>915</v>
      </c>
      <c r="F203" s="194" t="s">
        <v>796</v>
      </c>
      <c r="G203" s="315">
        <v>265859.73</v>
      </c>
      <c r="H203" s="112"/>
    </row>
    <row r="204" spans="3:8" ht="15.75" x14ac:dyDescent="0.25">
      <c r="C204" s="312">
        <v>44116</v>
      </c>
      <c r="D204" s="313" t="s">
        <v>916</v>
      </c>
      <c r="E204" s="314" t="s">
        <v>915</v>
      </c>
      <c r="F204" s="194" t="s">
        <v>796</v>
      </c>
      <c r="G204" s="315">
        <v>10310</v>
      </c>
      <c r="H204" s="112"/>
    </row>
    <row r="205" spans="3:8" ht="15.75" x14ac:dyDescent="0.25">
      <c r="C205" s="312">
        <v>44124</v>
      </c>
      <c r="D205" s="313" t="s">
        <v>917</v>
      </c>
      <c r="E205" s="314" t="s">
        <v>915</v>
      </c>
      <c r="F205" s="194" t="s">
        <v>796</v>
      </c>
      <c r="G205" s="315">
        <v>48042.94</v>
      </c>
      <c r="H205" s="112"/>
    </row>
    <row r="206" spans="3:8" ht="15.75" x14ac:dyDescent="0.25">
      <c r="C206" s="312">
        <v>44126</v>
      </c>
      <c r="D206" s="313" t="s">
        <v>918</v>
      </c>
      <c r="E206" s="314" t="s">
        <v>915</v>
      </c>
      <c r="F206" s="194" t="s">
        <v>796</v>
      </c>
      <c r="G206" s="315">
        <v>219230.6</v>
      </c>
      <c r="H206" s="112"/>
    </row>
    <row r="207" spans="3:8" ht="15.75" x14ac:dyDescent="0.25">
      <c r="C207" s="312">
        <v>44202</v>
      </c>
      <c r="D207" s="313" t="s">
        <v>919</v>
      </c>
      <c r="E207" s="314" t="s">
        <v>920</v>
      </c>
      <c r="F207" s="194" t="s">
        <v>543</v>
      </c>
      <c r="G207" s="315">
        <v>127510.8</v>
      </c>
      <c r="H207" s="112"/>
    </row>
    <row r="208" spans="3:8" ht="15.75" x14ac:dyDescent="0.25">
      <c r="C208" s="312">
        <v>44204</v>
      </c>
      <c r="D208" s="313" t="s">
        <v>921</v>
      </c>
      <c r="E208" s="314" t="s">
        <v>920</v>
      </c>
      <c r="F208" s="194" t="s">
        <v>922</v>
      </c>
      <c r="G208" s="315">
        <v>442.5</v>
      </c>
      <c r="H208" s="112"/>
    </row>
    <row r="209" spans="3:8" ht="15.75" x14ac:dyDescent="0.25">
      <c r="C209" s="312">
        <v>44447</v>
      </c>
      <c r="D209" s="313" t="s">
        <v>923</v>
      </c>
      <c r="E209" s="314" t="s">
        <v>920</v>
      </c>
      <c r="F209" s="194" t="s">
        <v>543</v>
      </c>
      <c r="G209" s="315">
        <v>92630</v>
      </c>
      <c r="H209" s="112"/>
    </row>
    <row r="210" spans="3:8" ht="15.75" x14ac:dyDescent="0.25">
      <c r="C210" s="312">
        <v>44468</v>
      </c>
      <c r="D210" s="313" t="s">
        <v>924</v>
      </c>
      <c r="E210" s="314" t="s">
        <v>925</v>
      </c>
      <c r="F210" s="194" t="s">
        <v>524</v>
      </c>
      <c r="G210" s="315">
        <v>1858.5</v>
      </c>
      <c r="H210" s="112"/>
    </row>
    <row r="211" spans="3:8" ht="15.75" x14ac:dyDescent="0.25">
      <c r="C211" s="312">
        <v>44441</v>
      </c>
      <c r="D211" s="313" t="s">
        <v>926</v>
      </c>
      <c r="E211" s="314" t="s">
        <v>927</v>
      </c>
      <c r="F211" s="194" t="s">
        <v>524</v>
      </c>
      <c r="G211" s="315">
        <v>148754.32</v>
      </c>
      <c r="H211" s="112"/>
    </row>
    <row r="212" spans="3:8" ht="15.75" x14ac:dyDescent="0.25">
      <c r="C212" s="312">
        <v>44305</v>
      </c>
      <c r="D212" s="313" t="s">
        <v>928</v>
      </c>
      <c r="E212" s="314" t="s">
        <v>929</v>
      </c>
      <c r="F212" s="194" t="s">
        <v>756</v>
      </c>
      <c r="G212" s="315">
        <v>8000</v>
      </c>
      <c r="H212" s="112"/>
    </row>
    <row r="213" spans="3:8" ht="15.75" x14ac:dyDescent="0.25">
      <c r="C213" s="312">
        <v>44319</v>
      </c>
      <c r="D213" s="313" t="s">
        <v>930</v>
      </c>
      <c r="E213" s="314" t="s">
        <v>929</v>
      </c>
      <c r="F213" s="194" t="s">
        <v>756</v>
      </c>
      <c r="G213" s="315">
        <v>8000</v>
      </c>
      <c r="H213" s="112"/>
    </row>
    <row r="214" spans="3:8" ht="15.75" x14ac:dyDescent="0.25">
      <c r="C214" s="312">
        <v>44334</v>
      </c>
      <c r="D214" s="313" t="s">
        <v>931</v>
      </c>
      <c r="E214" s="314" t="s">
        <v>929</v>
      </c>
      <c r="F214" s="194" t="s">
        <v>756</v>
      </c>
      <c r="G214" s="315">
        <v>8000</v>
      </c>
      <c r="H214" s="112"/>
    </row>
    <row r="215" spans="3:8" ht="15.75" x14ac:dyDescent="0.25">
      <c r="C215" s="312">
        <v>44334</v>
      </c>
      <c r="D215" s="313" t="s">
        <v>932</v>
      </c>
      <c r="E215" s="314" t="s">
        <v>929</v>
      </c>
      <c r="F215" s="194" t="s">
        <v>756</v>
      </c>
      <c r="G215" s="315">
        <v>8000</v>
      </c>
      <c r="H215" s="112"/>
    </row>
    <row r="216" spans="3:8" ht="15.75" x14ac:dyDescent="0.25">
      <c r="C216" s="312">
        <v>44351</v>
      </c>
      <c r="D216" s="313" t="s">
        <v>933</v>
      </c>
      <c r="E216" s="314" t="s">
        <v>929</v>
      </c>
      <c r="F216" s="194" t="s">
        <v>756</v>
      </c>
      <c r="G216" s="315">
        <v>8000</v>
      </c>
      <c r="H216" s="112"/>
    </row>
    <row r="217" spans="3:8" ht="15.75" x14ac:dyDescent="0.25">
      <c r="C217" s="312">
        <v>44355</v>
      </c>
      <c r="D217" s="313" t="s">
        <v>934</v>
      </c>
      <c r="E217" s="314" t="s">
        <v>929</v>
      </c>
      <c r="F217" s="194" t="s">
        <v>756</v>
      </c>
      <c r="G217" s="315">
        <v>8000</v>
      </c>
      <c r="H217" s="112"/>
    </row>
    <row r="218" spans="3:8" ht="15.75" x14ac:dyDescent="0.25">
      <c r="C218" s="312">
        <v>44364</v>
      </c>
      <c r="D218" s="313" t="s">
        <v>935</v>
      </c>
      <c r="E218" s="314" t="s">
        <v>929</v>
      </c>
      <c r="F218" s="194" t="s">
        <v>756</v>
      </c>
      <c r="G218" s="315">
        <v>8000</v>
      </c>
      <c r="H218" s="112"/>
    </row>
    <row r="219" spans="3:8" ht="15.75" x14ac:dyDescent="0.25">
      <c r="C219" s="312">
        <v>44390</v>
      </c>
      <c r="D219" s="313" t="s">
        <v>731</v>
      </c>
      <c r="E219" s="314" t="s">
        <v>936</v>
      </c>
      <c r="F219" s="194" t="s">
        <v>937</v>
      </c>
      <c r="G219" s="315">
        <v>62540</v>
      </c>
      <c r="H219" s="112"/>
    </row>
    <row r="220" spans="3:8" ht="15.75" x14ac:dyDescent="0.25">
      <c r="C220" s="312">
        <v>44289</v>
      </c>
      <c r="D220" s="313">
        <v>1105477</v>
      </c>
      <c r="E220" s="314" t="s">
        <v>547</v>
      </c>
      <c r="F220" s="194" t="s">
        <v>938</v>
      </c>
      <c r="G220" s="315">
        <v>5124</v>
      </c>
      <c r="H220" s="112"/>
    </row>
    <row r="221" spans="3:8" ht="15.75" x14ac:dyDescent="0.25">
      <c r="C221" s="312">
        <v>44296</v>
      </c>
      <c r="D221" s="313">
        <v>1109857</v>
      </c>
      <c r="E221" s="314" t="s">
        <v>547</v>
      </c>
      <c r="F221" s="194" t="s">
        <v>938</v>
      </c>
      <c r="G221" s="315">
        <v>5339.21</v>
      </c>
      <c r="H221" s="112"/>
    </row>
    <row r="222" spans="3:8" ht="15.75" x14ac:dyDescent="0.25">
      <c r="C222" s="312">
        <v>44310</v>
      </c>
      <c r="D222" s="313">
        <v>1126466</v>
      </c>
      <c r="E222" s="314" t="s">
        <v>547</v>
      </c>
      <c r="F222" s="194" t="s">
        <v>938</v>
      </c>
      <c r="G222" s="315">
        <v>7686</v>
      </c>
      <c r="H222" s="112"/>
    </row>
    <row r="223" spans="3:8" ht="15.75" x14ac:dyDescent="0.25">
      <c r="C223" s="312">
        <v>44324</v>
      </c>
      <c r="D223" s="313">
        <v>1154797</v>
      </c>
      <c r="E223" s="314" t="s">
        <v>547</v>
      </c>
      <c r="F223" s="194" t="s">
        <v>938</v>
      </c>
      <c r="G223" s="315">
        <v>9607.5</v>
      </c>
      <c r="H223" s="112"/>
    </row>
    <row r="224" spans="3:8" ht="15.75" x14ac:dyDescent="0.25">
      <c r="C224" s="312">
        <v>44337</v>
      </c>
      <c r="D224" s="313">
        <v>1160504</v>
      </c>
      <c r="E224" s="314" t="s">
        <v>547</v>
      </c>
      <c r="F224" s="194" t="s">
        <v>938</v>
      </c>
      <c r="G224" s="315">
        <v>11439</v>
      </c>
      <c r="H224" s="112"/>
    </row>
    <row r="225" spans="3:8" ht="15.75" x14ac:dyDescent="0.25">
      <c r="C225" s="312">
        <v>44353</v>
      </c>
      <c r="D225" s="313" t="s">
        <v>939</v>
      </c>
      <c r="E225" s="314" t="s">
        <v>547</v>
      </c>
      <c r="F225" s="194" t="s">
        <v>938</v>
      </c>
      <c r="G225" s="315">
        <v>12710</v>
      </c>
      <c r="H225" s="112"/>
    </row>
    <row r="226" spans="3:8" ht="15.75" x14ac:dyDescent="0.25">
      <c r="C226" s="312">
        <v>44353</v>
      </c>
      <c r="D226" s="313">
        <v>1226895</v>
      </c>
      <c r="E226" s="314" t="s">
        <v>547</v>
      </c>
      <c r="F226" s="194" t="s">
        <v>938</v>
      </c>
      <c r="G226" s="315">
        <v>11439</v>
      </c>
      <c r="H226" s="112"/>
    </row>
    <row r="227" spans="3:8" ht="15.75" x14ac:dyDescent="0.25">
      <c r="C227" s="312">
        <v>44366</v>
      </c>
      <c r="D227" s="313" t="s">
        <v>940</v>
      </c>
      <c r="E227" s="314" t="s">
        <v>547</v>
      </c>
      <c r="F227" s="194" t="s">
        <v>938</v>
      </c>
      <c r="G227" s="315">
        <v>9532.5</v>
      </c>
      <c r="H227" s="112"/>
    </row>
    <row r="228" spans="3:8" ht="15.75" x14ac:dyDescent="0.25">
      <c r="C228" s="312">
        <v>44396</v>
      </c>
      <c r="D228" s="313">
        <v>1245713</v>
      </c>
      <c r="E228" s="314" t="s">
        <v>547</v>
      </c>
      <c r="F228" s="194" t="s">
        <v>938</v>
      </c>
      <c r="G228" s="315">
        <v>12710</v>
      </c>
      <c r="H228" s="112"/>
    </row>
    <row r="229" spans="3:8" ht="15.75" x14ac:dyDescent="0.25">
      <c r="C229" s="312">
        <v>44408</v>
      </c>
      <c r="D229" s="313">
        <v>1262579</v>
      </c>
      <c r="E229" s="314" t="s">
        <v>547</v>
      </c>
      <c r="F229" s="194" t="s">
        <v>938</v>
      </c>
      <c r="G229" s="315">
        <v>1906.5</v>
      </c>
      <c r="H229" s="112"/>
    </row>
    <row r="230" spans="3:8" ht="15.75" x14ac:dyDescent="0.25">
      <c r="C230" s="312">
        <v>44418</v>
      </c>
      <c r="D230" s="313">
        <v>1273507</v>
      </c>
      <c r="E230" s="314" t="s">
        <v>547</v>
      </c>
      <c r="F230" s="194" t="s">
        <v>938</v>
      </c>
      <c r="G230" s="315">
        <v>12710</v>
      </c>
      <c r="H230" s="112"/>
    </row>
    <row r="231" spans="3:8" ht="15.75" x14ac:dyDescent="0.25">
      <c r="C231" s="312">
        <v>44429</v>
      </c>
      <c r="D231" s="313" t="s">
        <v>941</v>
      </c>
      <c r="E231" s="314" t="s">
        <v>547</v>
      </c>
      <c r="F231" s="194" t="s">
        <v>938</v>
      </c>
      <c r="G231" s="315">
        <v>6804.93</v>
      </c>
      <c r="H231" s="112"/>
    </row>
    <row r="232" spans="3:8" ht="15.75" x14ac:dyDescent="0.25">
      <c r="C232" s="312">
        <v>44429</v>
      </c>
      <c r="D232" s="313">
        <v>1281755</v>
      </c>
      <c r="E232" s="314" t="s">
        <v>547</v>
      </c>
      <c r="F232" s="194" t="s">
        <v>938</v>
      </c>
      <c r="G232" s="315">
        <v>6804.93</v>
      </c>
      <c r="H232" s="112"/>
    </row>
    <row r="233" spans="3:8" ht="15.75" x14ac:dyDescent="0.25">
      <c r="C233" s="312">
        <v>44443</v>
      </c>
      <c r="D233" s="313" t="s">
        <v>942</v>
      </c>
      <c r="E233" s="314" t="s">
        <v>547</v>
      </c>
      <c r="F233" s="194" t="s">
        <v>938</v>
      </c>
      <c r="G233" s="315">
        <v>5612.74</v>
      </c>
      <c r="H233" s="112"/>
    </row>
    <row r="234" spans="3:8" ht="15.75" x14ac:dyDescent="0.25">
      <c r="C234" s="312">
        <v>44450</v>
      </c>
      <c r="D234" s="313">
        <v>1332617</v>
      </c>
      <c r="E234" s="314" t="s">
        <v>547</v>
      </c>
      <c r="F234" s="194" t="s">
        <v>938</v>
      </c>
      <c r="G234" s="315">
        <v>5920.32</v>
      </c>
      <c r="H234" s="112"/>
    </row>
    <row r="235" spans="3:8" ht="15.75" x14ac:dyDescent="0.25">
      <c r="C235" s="312">
        <v>44182</v>
      </c>
      <c r="D235" s="313" t="s">
        <v>943</v>
      </c>
      <c r="E235" s="314" t="s">
        <v>944</v>
      </c>
      <c r="F235" s="194" t="s">
        <v>705</v>
      </c>
      <c r="G235" s="315">
        <v>61861.8</v>
      </c>
      <c r="H235" s="112"/>
    </row>
    <row r="236" spans="3:8" ht="15.75" x14ac:dyDescent="0.25">
      <c r="C236" s="312">
        <v>44452</v>
      </c>
      <c r="D236" s="313" t="s">
        <v>945</v>
      </c>
      <c r="E236" s="314" t="s">
        <v>944</v>
      </c>
      <c r="F236" s="194" t="s">
        <v>705</v>
      </c>
      <c r="G236" s="315">
        <v>439113.45</v>
      </c>
      <c r="H236" s="112"/>
    </row>
    <row r="237" spans="3:8" ht="15.75" x14ac:dyDescent="0.25">
      <c r="C237" s="312">
        <v>44460</v>
      </c>
      <c r="D237" s="313" t="s">
        <v>946</v>
      </c>
      <c r="E237" s="314" t="s">
        <v>944</v>
      </c>
      <c r="F237" s="194" t="s">
        <v>705</v>
      </c>
      <c r="G237" s="315">
        <v>162925.34</v>
      </c>
      <c r="H237" s="112"/>
    </row>
    <row r="238" spans="3:8" ht="15.75" x14ac:dyDescent="0.25">
      <c r="C238" s="312">
        <v>44462</v>
      </c>
      <c r="D238" s="313" t="s">
        <v>947</v>
      </c>
      <c r="E238" s="314" t="s">
        <v>948</v>
      </c>
      <c r="F238" s="194" t="s">
        <v>524</v>
      </c>
      <c r="G238" s="315">
        <v>207444</v>
      </c>
      <c r="H238" s="112"/>
    </row>
    <row r="239" spans="3:8" ht="15.75" x14ac:dyDescent="0.25">
      <c r="C239" s="320" t="s">
        <v>949</v>
      </c>
      <c r="D239" s="322" t="s">
        <v>950</v>
      </c>
      <c r="E239" s="318" t="s">
        <v>548</v>
      </c>
      <c r="F239" s="195" t="s">
        <v>524</v>
      </c>
      <c r="G239" s="315">
        <v>14910.48</v>
      </c>
      <c r="H239" s="112"/>
    </row>
    <row r="240" spans="3:8" ht="15.75" x14ac:dyDescent="0.25">
      <c r="C240" s="320" t="s">
        <v>951</v>
      </c>
      <c r="D240" s="322" t="s">
        <v>952</v>
      </c>
      <c r="E240" s="318" t="s">
        <v>548</v>
      </c>
      <c r="F240" s="195" t="s">
        <v>524</v>
      </c>
      <c r="G240" s="315">
        <v>70750</v>
      </c>
      <c r="H240" s="112"/>
    </row>
    <row r="241" spans="3:8" ht="15.75" x14ac:dyDescent="0.25">
      <c r="C241" s="323" t="s">
        <v>953</v>
      </c>
      <c r="D241" s="324"/>
      <c r="E241" s="325"/>
      <c r="F241" s="325"/>
      <c r="G241" s="326">
        <f>SUM(G16:G240)</f>
        <v>77901336.039999962</v>
      </c>
      <c r="H241" s="112"/>
    </row>
    <row r="244" spans="3:8" x14ac:dyDescent="0.25">
      <c r="C244" s="19"/>
    </row>
    <row r="245" spans="3:8" x14ac:dyDescent="0.25">
      <c r="C245" s="19"/>
    </row>
    <row r="247" spans="3:8" x14ac:dyDescent="0.25">
      <c r="C247" s="19" t="s">
        <v>585</v>
      </c>
    </row>
    <row r="248" spans="3:8" x14ac:dyDescent="0.25">
      <c r="C248" s="19" t="s">
        <v>586</v>
      </c>
    </row>
  </sheetData>
  <mergeCells count="6">
    <mergeCell ref="C12:G12"/>
    <mergeCell ref="B4:H4"/>
    <mergeCell ref="B5:H5"/>
    <mergeCell ref="B6:H6"/>
    <mergeCell ref="B7:H7"/>
    <mergeCell ref="C11:G11"/>
  </mergeCells>
  <pageMargins left="0.7" right="0.7" top="0.75" bottom="0.75" header="0.3" footer="0.3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70"/>
  <sheetViews>
    <sheetView tabSelected="1" topLeftCell="A26" workbookViewId="0">
      <selection activeCell="C42" sqref="C42"/>
    </sheetView>
  </sheetViews>
  <sheetFormatPr baseColWidth="10" defaultColWidth="9.140625" defaultRowHeight="12.75" x14ac:dyDescent="0.25"/>
  <cols>
    <col min="1" max="1" width="4.5703125" style="84" customWidth="1"/>
    <col min="2" max="2" width="51.28515625" style="97" customWidth="1"/>
    <col min="3" max="3" width="16.140625" style="84" customWidth="1"/>
    <col min="4" max="4" width="0.7109375" style="84" customWidth="1"/>
    <col min="5" max="5" width="16.140625" style="84" customWidth="1"/>
    <col min="6" max="6" width="9.140625" style="84"/>
    <col min="7" max="8" width="16.5703125" style="84" bestFit="1" customWidth="1"/>
    <col min="9" max="10" width="9.140625" style="84"/>
    <col min="11" max="11" width="15.42578125" style="84" bestFit="1" customWidth="1"/>
    <col min="12" max="254" width="9.140625" style="84"/>
    <col min="255" max="255" width="5.28515625" style="84" customWidth="1"/>
    <col min="256" max="256" width="48.42578125" style="84" customWidth="1"/>
    <col min="257" max="257" width="33.7109375" style="84" customWidth="1"/>
    <col min="258" max="258" width="9.140625" style="84"/>
    <col min="259" max="259" width="13.7109375" style="84" bestFit="1" customWidth="1"/>
    <col min="260" max="510" width="9.140625" style="84"/>
    <col min="511" max="511" width="5.28515625" style="84" customWidth="1"/>
    <col min="512" max="512" width="48.42578125" style="84" customWidth="1"/>
    <col min="513" max="513" width="33.7109375" style="84" customWidth="1"/>
    <col min="514" max="514" width="9.140625" style="84"/>
    <col min="515" max="515" width="13.7109375" style="84" bestFit="1" customWidth="1"/>
    <col min="516" max="766" width="9.140625" style="84"/>
    <col min="767" max="767" width="5.28515625" style="84" customWidth="1"/>
    <col min="768" max="768" width="48.42578125" style="84" customWidth="1"/>
    <col min="769" max="769" width="33.7109375" style="84" customWidth="1"/>
    <col min="770" max="770" width="9.140625" style="84"/>
    <col min="771" max="771" width="13.7109375" style="84" bestFit="1" customWidth="1"/>
    <col min="772" max="1022" width="9.140625" style="84"/>
    <col min="1023" max="1023" width="5.28515625" style="84" customWidth="1"/>
    <col min="1024" max="1024" width="48.42578125" style="84" customWidth="1"/>
    <col min="1025" max="1025" width="33.7109375" style="84" customWidth="1"/>
    <col min="1026" max="1026" width="9.140625" style="84"/>
    <col min="1027" max="1027" width="13.7109375" style="84" bestFit="1" customWidth="1"/>
    <col min="1028" max="1278" width="9.140625" style="84"/>
    <col min="1279" max="1279" width="5.28515625" style="84" customWidth="1"/>
    <col min="1280" max="1280" width="48.42578125" style="84" customWidth="1"/>
    <col min="1281" max="1281" width="33.7109375" style="84" customWidth="1"/>
    <col min="1282" max="1282" width="9.140625" style="84"/>
    <col min="1283" max="1283" width="13.7109375" style="84" bestFit="1" customWidth="1"/>
    <col min="1284" max="1534" width="9.140625" style="84"/>
    <col min="1535" max="1535" width="5.28515625" style="84" customWidth="1"/>
    <col min="1536" max="1536" width="48.42578125" style="84" customWidth="1"/>
    <col min="1537" max="1537" width="33.7109375" style="84" customWidth="1"/>
    <col min="1538" max="1538" width="9.140625" style="84"/>
    <col min="1539" max="1539" width="13.7109375" style="84" bestFit="1" customWidth="1"/>
    <col min="1540" max="1790" width="9.140625" style="84"/>
    <col min="1791" max="1791" width="5.28515625" style="84" customWidth="1"/>
    <col min="1792" max="1792" width="48.42578125" style="84" customWidth="1"/>
    <col min="1793" max="1793" width="33.7109375" style="84" customWidth="1"/>
    <col min="1794" max="1794" width="9.140625" style="84"/>
    <col min="1795" max="1795" width="13.7109375" style="84" bestFit="1" customWidth="1"/>
    <col min="1796" max="2046" width="9.140625" style="84"/>
    <col min="2047" max="2047" width="5.28515625" style="84" customWidth="1"/>
    <col min="2048" max="2048" width="48.42578125" style="84" customWidth="1"/>
    <col min="2049" max="2049" width="33.7109375" style="84" customWidth="1"/>
    <col min="2050" max="2050" width="9.140625" style="84"/>
    <col min="2051" max="2051" width="13.7109375" style="84" bestFit="1" customWidth="1"/>
    <col min="2052" max="2302" width="9.140625" style="84"/>
    <col min="2303" max="2303" width="5.28515625" style="84" customWidth="1"/>
    <col min="2304" max="2304" width="48.42578125" style="84" customWidth="1"/>
    <col min="2305" max="2305" width="33.7109375" style="84" customWidth="1"/>
    <col min="2306" max="2306" width="9.140625" style="84"/>
    <col min="2307" max="2307" width="13.7109375" style="84" bestFit="1" customWidth="1"/>
    <col min="2308" max="2558" width="9.140625" style="84"/>
    <col min="2559" max="2559" width="5.28515625" style="84" customWidth="1"/>
    <col min="2560" max="2560" width="48.42578125" style="84" customWidth="1"/>
    <col min="2561" max="2561" width="33.7109375" style="84" customWidth="1"/>
    <col min="2562" max="2562" width="9.140625" style="84"/>
    <col min="2563" max="2563" width="13.7109375" style="84" bestFit="1" customWidth="1"/>
    <col min="2564" max="2814" width="9.140625" style="84"/>
    <col min="2815" max="2815" width="5.28515625" style="84" customWidth="1"/>
    <col min="2816" max="2816" width="48.42578125" style="84" customWidth="1"/>
    <col min="2817" max="2817" width="33.7109375" style="84" customWidth="1"/>
    <col min="2818" max="2818" width="9.140625" style="84"/>
    <col min="2819" max="2819" width="13.7109375" style="84" bestFit="1" customWidth="1"/>
    <col min="2820" max="3070" width="9.140625" style="84"/>
    <col min="3071" max="3071" width="5.28515625" style="84" customWidth="1"/>
    <col min="3072" max="3072" width="48.42578125" style="84" customWidth="1"/>
    <col min="3073" max="3073" width="33.7109375" style="84" customWidth="1"/>
    <col min="3074" max="3074" width="9.140625" style="84"/>
    <col min="3075" max="3075" width="13.7109375" style="84" bestFit="1" customWidth="1"/>
    <col min="3076" max="3326" width="9.140625" style="84"/>
    <col min="3327" max="3327" width="5.28515625" style="84" customWidth="1"/>
    <col min="3328" max="3328" width="48.42578125" style="84" customWidth="1"/>
    <col min="3329" max="3329" width="33.7109375" style="84" customWidth="1"/>
    <col min="3330" max="3330" width="9.140625" style="84"/>
    <col min="3331" max="3331" width="13.7109375" style="84" bestFit="1" customWidth="1"/>
    <col min="3332" max="3582" width="9.140625" style="84"/>
    <col min="3583" max="3583" width="5.28515625" style="84" customWidth="1"/>
    <col min="3584" max="3584" width="48.42578125" style="84" customWidth="1"/>
    <col min="3585" max="3585" width="33.7109375" style="84" customWidth="1"/>
    <col min="3586" max="3586" width="9.140625" style="84"/>
    <col min="3587" max="3587" width="13.7109375" style="84" bestFit="1" customWidth="1"/>
    <col min="3588" max="3838" width="9.140625" style="84"/>
    <col min="3839" max="3839" width="5.28515625" style="84" customWidth="1"/>
    <col min="3840" max="3840" width="48.42578125" style="84" customWidth="1"/>
    <col min="3841" max="3841" width="33.7109375" style="84" customWidth="1"/>
    <col min="3842" max="3842" width="9.140625" style="84"/>
    <col min="3843" max="3843" width="13.7109375" style="84" bestFit="1" customWidth="1"/>
    <col min="3844" max="4094" width="9.140625" style="84"/>
    <col min="4095" max="4095" width="5.28515625" style="84" customWidth="1"/>
    <col min="4096" max="4096" width="48.42578125" style="84" customWidth="1"/>
    <col min="4097" max="4097" width="33.7109375" style="84" customWidth="1"/>
    <col min="4098" max="4098" width="9.140625" style="84"/>
    <col min="4099" max="4099" width="13.7109375" style="84" bestFit="1" customWidth="1"/>
    <col min="4100" max="4350" width="9.140625" style="84"/>
    <col min="4351" max="4351" width="5.28515625" style="84" customWidth="1"/>
    <col min="4352" max="4352" width="48.42578125" style="84" customWidth="1"/>
    <col min="4353" max="4353" width="33.7109375" style="84" customWidth="1"/>
    <col min="4354" max="4354" width="9.140625" style="84"/>
    <col min="4355" max="4355" width="13.7109375" style="84" bestFit="1" customWidth="1"/>
    <col min="4356" max="4606" width="9.140625" style="84"/>
    <col min="4607" max="4607" width="5.28515625" style="84" customWidth="1"/>
    <col min="4608" max="4608" width="48.42578125" style="84" customWidth="1"/>
    <col min="4609" max="4609" width="33.7109375" style="84" customWidth="1"/>
    <col min="4610" max="4610" width="9.140625" style="84"/>
    <col min="4611" max="4611" width="13.7109375" style="84" bestFit="1" customWidth="1"/>
    <col min="4612" max="4862" width="9.140625" style="84"/>
    <col min="4863" max="4863" width="5.28515625" style="84" customWidth="1"/>
    <col min="4864" max="4864" width="48.42578125" style="84" customWidth="1"/>
    <col min="4865" max="4865" width="33.7109375" style="84" customWidth="1"/>
    <col min="4866" max="4866" width="9.140625" style="84"/>
    <col min="4867" max="4867" width="13.7109375" style="84" bestFit="1" customWidth="1"/>
    <col min="4868" max="5118" width="9.140625" style="84"/>
    <col min="5119" max="5119" width="5.28515625" style="84" customWidth="1"/>
    <col min="5120" max="5120" width="48.42578125" style="84" customWidth="1"/>
    <col min="5121" max="5121" width="33.7109375" style="84" customWidth="1"/>
    <col min="5122" max="5122" width="9.140625" style="84"/>
    <col min="5123" max="5123" width="13.7109375" style="84" bestFit="1" customWidth="1"/>
    <col min="5124" max="5374" width="9.140625" style="84"/>
    <col min="5375" max="5375" width="5.28515625" style="84" customWidth="1"/>
    <col min="5376" max="5376" width="48.42578125" style="84" customWidth="1"/>
    <col min="5377" max="5377" width="33.7109375" style="84" customWidth="1"/>
    <col min="5378" max="5378" width="9.140625" style="84"/>
    <col min="5379" max="5379" width="13.7109375" style="84" bestFit="1" customWidth="1"/>
    <col min="5380" max="5630" width="9.140625" style="84"/>
    <col min="5631" max="5631" width="5.28515625" style="84" customWidth="1"/>
    <col min="5632" max="5632" width="48.42578125" style="84" customWidth="1"/>
    <col min="5633" max="5633" width="33.7109375" style="84" customWidth="1"/>
    <col min="5634" max="5634" width="9.140625" style="84"/>
    <col min="5635" max="5635" width="13.7109375" style="84" bestFit="1" customWidth="1"/>
    <col min="5636" max="5886" width="9.140625" style="84"/>
    <col min="5887" max="5887" width="5.28515625" style="84" customWidth="1"/>
    <col min="5888" max="5888" width="48.42578125" style="84" customWidth="1"/>
    <col min="5889" max="5889" width="33.7109375" style="84" customWidth="1"/>
    <col min="5890" max="5890" width="9.140625" style="84"/>
    <col min="5891" max="5891" width="13.7109375" style="84" bestFit="1" customWidth="1"/>
    <col min="5892" max="6142" width="9.140625" style="84"/>
    <col min="6143" max="6143" width="5.28515625" style="84" customWidth="1"/>
    <col min="6144" max="6144" width="48.42578125" style="84" customWidth="1"/>
    <col min="6145" max="6145" width="33.7109375" style="84" customWidth="1"/>
    <col min="6146" max="6146" width="9.140625" style="84"/>
    <col min="6147" max="6147" width="13.7109375" style="84" bestFit="1" customWidth="1"/>
    <col min="6148" max="6398" width="9.140625" style="84"/>
    <col min="6399" max="6399" width="5.28515625" style="84" customWidth="1"/>
    <col min="6400" max="6400" width="48.42578125" style="84" customWidth="1"/>
    <col min="6401" max="6401" width="33.7109375" style="84" customWidth="1"/>
    <col min="6402" max="6402" width="9.140625" style="84"/>
    <col min="6403" max="6403" width="13.7109375" style="84" bestFit="1" customWidth="1"/>
    <col min="6404" max="6654" width="9.140625" style="84"/>
    <col min="6655" max="6655" width="5.28515625" style="84" customWidth="1"/>
    <col min="6656" max="6656" width="48.42578125" style="84" customWidth="1"/>
    <col min="6657" max="6657" width="33.7109375" style="84" customWidth="1"/>
    <col min="6658" max="6658" width="9.140625" style="84"/>
    <col min="6659" max="6659" width="13.7109375" style="84" bestFit="1" customWidth="1"/>
    <col min="6660" max="6910" width="9.140625" style="84"/>
    <col min="6911" max="6911" width="5.28515625" style="84" customWidth="1"/>
    <col min="6912" max="6912" width="48.42578125" style="84" customWidth="1"/>
    <col min="6913" max="6913" width="33.7109375" style="84" customWidth="1"/>
    <col min="6914" max="6914" width="9.140625" style="84"/>
    <col min="6915" max="6915" width="13.7109375" style="84" bestFit="1" customWidth="1"/>
    <col min="6916" max="7166" width="9.140625" style="84"/>
    <col min="7167" max="7167" width="5.28515625" style="84" customWidth="1"/>
    <col min="7168" max="7168" width="48.42578125" style="84" customWidth="1"/>
    <col min="7169" max="7169" width="33.7109375" style="84" customWidth="1"/>
    <col min="7170" max="7170" width="9.140625" style="84"/>
    <col min="7171" max="7171" width="13.7109375" style="84" bestFit="1" customWidth="1"/>
    <col min="7172" max="7422" width="9.140625" style="84"/>
    <col min="7423" max="7423" width="5.28515625" style="84" customWidth="1"/>
    <col min="7424" max="7424" width="48.42578125" style="84" customWidth="1"/>
    <col min="7425" max="7425" width="33.7109375" style="84" customWidth="1"/>
    <col min="7426" max="7426" width="9.140625" style="84"/>
    <col min="7427" max="7427" width="13.7109375" style="84" bestFit="1" customWidth="1"/>
    <col min="7428" max="7678" width="9.140625" style="84"/>
    <col min="7679" max="7679" width="5.28515625" style="84" customWidth="1"/>
    <col min="7680" max="7680" width="48.42578125" style="84" customWidth="1"/>
    <col min="7681" max="7681" width="33.7109375" style="84" customWidth="1"/>
    <col min="7682" max="7682" width="9.140625" style="84"/>
    <col min="7683" max="7683" width="13.7109375" style="84" bestFit="1" customWidth="1"/>
    <col min="7684" max="7934" width="9.140625" style="84"/>
    <col min="7935" max="7935" width="5.28515625" style="84" customWidth="1"/>
    <col min="7936" max="7936" width="48.42578125" style="84" customWidth="1"/>
    <col min="7937" max="7937" width="33.7109375" style="84" customWidth="1"/>
    <col min="7938" max="7938" width="9.140625" style="84"/>
    <col min="7939" max="7939" width="13.7109375" style="84" bestFit="1" customWidth="1"/>
    <col min="7940" max="8190" width="9.140625" style="84"/>
    <col min="8191" max="8191" width="5.28515625" style="84" customWidth="1"/>
    <col min="8192" max="8192" width="48.42578125" style="84" customWidth="1"/>
    <col min="8193" max="8193" width="33.7109375" style="84" customWidth="1"/>
    <col min="8194" max="8194" width="9.140625" style="84"/>
    <col min="8195" max="8195" width="13.7109375" style="84" bestFit="1" customWidth="1"/>
    <col min="8196" max="8446" width="9.140625" style="84"/>
    <col min="8447" max="8447" width="5.28515625" style="84" customWidth="1"/>
    <col min="8448" max="8448" width="48.42578125" style="84" customWidth="1"/>
    <col min="8449" max="8449" width="33.7109375" style="84" customWidth="1"/>
    <col min="8450" max="8450" width="9.140625" style="84"/>
    <col min="8451" max="8451" width="13.7109375" style="84" bestFit="1" customWidth="1"/>
    <col min="8452" max="8702" width="9.140625" style="84"/>
    <col min="8703" max="8703" width="5.28515625" style="84" customWidth="1"/>
    <col min="8704" max="8704" width="48.42578125" style="84" customWidth="1"/>
    <col min="8705" max="8705" width="33.7109375" style="84" customWidth="1"/>
    <col min="8706" max="8706" width="9.140625" style="84"/>
    <col min="8707" max="8707" width="13.7109375" style="84" bestFit="1" customWidth="1"/>
    <col min="8708" max="8958" width="9.140625" style="84"/>
    <col min="8959" max="8959" width="5.28515625" style="84" customWidth="1"/>
    <col min="8960" max="8960" width="48.42578125" style="84" customWidth="1"/>
    <col min="8961" max="8961" width="33.7109375" style="84" customWidth="1"/>
    <col min="8962" max="8962" width="9.140625" style="84"/>
    <col min="8963" max="8963" width="13.7109375" style="84" bestFit="1" customWidth="1"/>
    <col min="8964" max="9214" width="9.140625" style="84"/>
    <col min="9215" max="9215" width="5.28515625" style="84" customWidth="1"/>
    <col min="9216" max="9216" width="48.42578125" style="84" customWidth="1"/>
    <col min="9217" max="9217" width="33.7109375" style="84" customWidth="1"/>
    <col min="9218" max="9218" width="9.140625" style="84"/>
    <col min="9219" max="9219" width="13.7109375" style="84" bestFit="1" customWidth="1"/>
    <col min="9220" max="9470" width="9.140625" style="84"/>
    <col min="9471" max="9471" width="5.28515625" style="84" customWidth="1"/>
    <col min="9472" max="9472" width="48.42578125" style="84" customWidth="1"/>
    <col min="9473" max="9473" width="33.7109375" style="84" customWidth="1"/>
    <col min="9474" max="9474" width="9.140625" style="84"/>
    <col min="9475" max="9475" width="13.7109375" style="84" bestFit="1" customWidth="1"/>
    <col min="9476" max="9726" width="9.140625" style="84"/>
    <col min="9727" max="9727" width="5.28515625" style="84" customWidth="1"/>
    <col min="9728" max="9728" width="48.42578125" style="84" customWidth="1"/>
    <col min="9729" max="9729" width="33.7109375" style="84" customWidth="1"/>
    <col min="9730" max="9730" width="9.140625" style="84"/>
    <col min="9731" max="9731" width="13.7109375" style="84" bestFit="1" customWidth="1"/>
    <col min="9732" max="9982" width="9.140625" style="84"/>
    <col min="9983" max="9983" width="5.28515625" style="84" customWidth="1"/>
    <col min="9984" max="9984" width="48.42578125" style="84" customWidth="1"/>
    <col min="9985" max="9985" width="33.7109375" style="84" customWidth="1"/>
    <col min="9986" max="9986" width="9.140625" style="84"/>
    <col min="9987" max="9987" width="13.7109375" style="84" bestFit="1" customWidth="1"/>
    <col min="9988" max="10238" width="9.140625" style="84"/>
    <col min="10239" max="10239" width="5.28515625" style="84" customWidth="1"/>
    <col min="10240" max="10240" width="48.42578125" style="84" customWidth="1"/>
    <col min="10241" max="10241" width="33.7109375" style="84" customWidth="1"/>
    <col min="10242" max="10242" width="9.140625" style="84"/>
    <col min="10243" max="10243" width="13.7109375" style="84" bestFit="1" customWidth="1"/>
    <col min="10244" max="10494" width="9.140625" style="84"/>
    <col min="10495" max="10495" width="5.28515625" style="84" customWidth="1"/>
    <col min="10496" max="10496" width="48.42578125" style="84" customWidth="1"/>
    <col min="10497" max="10497" width="33.7109375" style="84" customWidth="1"/>
    <col min="10498" max="10498" width="9.140625" style="84"/>
    <col min="10499" max="10499" width="13.7109375" style="84" bestFit="1" customWidth="1"/>
    <col min="10500" max="10750" width="9.140625" style="84"/>
    <col min="10751" max="10751" width="5.28515625" style="84" customWidth="1"/>
    <col min="10752" max="10752" width="48.42578125" style="84" customWidth="1"/>
    <col min="10753" max="10753" width="33.7109375" style="84" customWidth="1"/>
    <col min="10754" max="10754" width="9.140625" style="84"/>
    <col min="10755" max="10755" width="13.7109375" style="84" bestFit="1" customWidth="1"/>
    <col min="10756" max="11006" width="9.140625" style="84"/>
    <col min="11007" max="11007" width="5.28515625" style="84" customWidth="1"/>
    <col min="11008" max="11008" width="48.42578125" style="84" customWidth="1"/>
    <col min="11009" max="11009" width="33.7109375" style="84" customWidth="1"/>
    <col min="11010" max="11010" width="9.140625" style="84"/>
    <col min="11011" max="11011" width="13.7109375" style="84" bestFit="1" customWidth="1"/>
    <col min="11012" max="11262" width="9.140625" style="84"/>
    <col min="11263" max="11263" width="5.28515625" style="84" customWidth="1"/>
    <col min="11264" max="11264" width="48.42578125" style="84" customWidth="1"/>
    <col min="11265" max="11265" width="33.7109375" style="84" customWidth="1"/>
    <col min="11266" max="11266" width="9.140625" style="84"/>
    <col min="11267" max="11267" width="13.7109375" style="84" bestFit="1" customWidth="1"/>
    <col min="11268" max="11518" width="9.140625" style="84"/>
    <col min="11519" max="11519" width="5.28515625" style="84" customWidth="1"/>
    <col min="11520" max="11520" width="48.42578125" style="84" customWidth="1"/>
    <col min="11521" max="11521" width="33.7109375" style="84" customWidth="1"/>
    <col min="11522" max="11522" width="9.140625" style="84"/>
    <col min="11523" max="11523" width="13.7109375" style="84" bestFit="1" customWidth="1"/>
    <col min="11524" max="11774" width="9.140625" style="84"/>
    <col min="11775" max="11775" width="5.28515625" style="84" customWidth="1"/>
    <col min="11776" max="11776" width="48.42578125" style="84" customWidth="1"/>
    <col min="11777" max="11777" width="33.7109375" style="84" customWidth="1"/>
    <col min="11778" max="11778" width="9.140625" style="84"/>
    <col min="11779" max="11779" width="13.7109375" style="84" bestFit="1" customWidth="1"/>
    <col min="11780" max="12030" width="9.140625" style="84"/>
    <col min="12031" max="12031" width="5.28515625" style="84" customWidth="1"/>
    <col min="12032" max="12032" width="48.42578125" style="84" customWidth="1"/>
    <col min="12033" max="12033" width="33.7109375" style="84" customWidth="1"/>
    <col min="12034" max="12034" width="9.140625" style="84"/>
    <col min="12035" max="12035" width="13.7109375" style="84" bestFit="1" customWidth="1"/>
    <col min="12036" max="12286" width="9.140625" style="84"/>
    <col min="12287" max="12287" width="5.28515625" style="84" customWidth="1"/>
    <col min="12288" max="12288" width="48.42578125" style="84" customWidth="1"/>
    <col min="12289" max="12289" width="33.7109375" style="84" customWidth="1"/>
    <col min="12290" max="12290" width="9.140625" style="84"/>
    <col min="12291" max="12291" width="13.7109375" style="84" bestFit="1" customWidth="1"/>
    <col min="12292" max="12542" width="9.140625" style="84"/>
    <col min="12543" max="12543" width="5.28515625" style="84" customWidth="1"/>
    <col min="12544" max="12544" width="48.42578125" style="84" customWidth="1"/>
    <col min="12545" max="12545" width="33.7109375" style="84" customWidth="1"/>
    <col min="12546" max="12546" width="9.140625" style="84"/>
    <col min="12547" max="12547" width="13.7109375" style="84" bestFit="1" customWidth="1"/>
    <col min="12548" max="12798" width="9.140625" style="84"/>
    <col min="12799" max="12799" width="5.28515625" style="84" customWidth="1"/>
    <col min="12800" max="12800" width="48.42578125" style="84" customWidth="1"/>
    <col min="12801" max="12801" width="33.7109375" style="84" customWidth="1"/>
    <col min="12802" max="12802" width="9.140625" style="84"/>
    <col min="12803" max="12803" width="13.7109375" style="84" bestFit="1" customWidth="1"/>
    <col min="12804" max="13054" width="9.140625" style="84"/>
    <col min="13055" max="13055" width="5.28515625" style="84" customWidth="1"/>
    <col min="13056" max="13056" width="48.42578125" style="84" customWidth="1"/>
    <col min="13057" max="13057" width="33.7109375" style="84" customWidth="1"/>
    <col min="13058" max="13058" width="9.140625" style="84"/>
    <col min="13059" max="13059" width="13.7109375" style="84" bestFit="1" customWidth="1"/>
    <col min="13060" max="13310" width="9.140625" style="84"/>
    <col min="13311" max="13311" width="5.28515625" style="84" customWidth="1"/>
    <col min="13312" max="13312" width="48.42578125" style="84" customWidth="1"/>
    <col min="13313" max="13313" width="33.7109375" style="84" customWidth="1"/>
    <col min="13314" max="13314" width="9.140625" style="84"/>
    <col min="13315" max="13315" width="13.7109375" style="84" bestFit="1" customWidth="1"/>
    <col min="13316" max="13566" width="9.140625" style="84"/>
    <col min="13567" max="13567" width="5.28515625" style="84" customWidth="1"/>
    <col min="13568" max="13568" width="48.42578125" style="84" customWidth="1"/>
    <col min="13569" max="13569" width="33.7109375" style="84" customWidth="1"/>
    <col min="13570" max="13570" width="9.140625" style="84"/>
    <col min="13571" max="13571" width="13.7109375" style="84" bestFit="1" customWidth="1"/>
    <col min="13572" max="13822" width="9.140625" style="84"/>
    <col min="13823" max="13823" width="5.28515625" style="84" customWidth="1"/>
    <col min="13824" max="13824" width="48.42578125" style="84" customWidth="1"/>
    <col min="13825" max="13825" width="33.7109375" style="84" customWidth="1"/>
    <col min="13826" max="13826" width="9.140625" style="84"/>
    <col min="13827" max="13827" width="13.7109375" style="84" bestFit="1" customWidth="1"/>
    <col min="13828" max="14078" width="9.140625" style="84"/>
    <col min="14079" max="14079" width="5.28515625" style="84" customWidth="1"/>
    <col min="14080" max="14080" width="48.42578125" style="84" customWidth="1"/>
    <col min="14081" max="14081" width="33.7109375" style="84" customWidth="1"/>
    <col min="14082" max="14082" width="9.140625" style="84"/>
    <col min="14083" max="14083" width="13.7109375" style="84" bestFit="1" customWidth="1"/>
    <col min="14084" max="14334" width="9.140625" style="84"/>
    <col min="14335" max="14335" width="5.28515625" style="84" customWidth="1"/>
    <col min="14336" max="14336" width="48.42578125" style="84" customWidth="1"/>
    <col min="14337" max="14337" width="33.7109375" style="84" customWidth="1"/>
    <col min="14338" max="14338" width="9.140625" style="84"/>
    <col min="14339" max="14339" width="13.7109375" style="84" bestFit="1" customWidth="1"/>
    <col min="14340" max="14590" width="9.140625" style="84"/>
    <col min="14591" max="14591" width="5.28515625" style="84" customWidth="1"/>
    <col min="14592" max="14592" width="48.42578125" style="84" customWidth="1"/>
    <col min="14593" max="14593" width="33.7109375" style="84" customWidth="1"/>
    <col min="14594" max="14594" width="9.140625" style="84"/>
    <col min="14595" max="14595" width="13.7109375" style="84" bestFit="1" customWidth="1"/>
    <col min="14596" max="14846" width="9.140625" style="84"/>
    <col min="14847" max="14847" width="5.28515625" style="84" customWidth="1"/>
    <col min="14848" max="14848" width="48.42578125" style="84" customWidth="1"/>
    <col min="14849" max="14849" width="33.7109375" style="84" customWidth="1"/>
    <col min="14850" max="14850" width="9.140625" style="84"/>
    <col min="14851" max="14851" width="13.7109375" style="84" bestFit="1" customWidth="1"/>
    <col min="14852" max="15102" width="9.140625" style="84"/>
    <col min="15103" max="15103" width="5.28515625" style="84" customWidth="1"/>
    <col min="15104" max="15104" width="48.42578125" style="84" customWidth="1"/>
    <col min="15105" max="15105" width="33.7109375" style="84" customWidth="1"/>
    <col min="15106" max="15106" width="9.140625" style="84"/>
    <col min="15107" max="15107" width="13.7109375" style="84" bestFit="1" customWidth="1"/>
    <col min="15108" max="15358" width="9.140625" style="84"/>
    <col min="15359" max="15359" width="5.28515625" style="84" customWidth="1"/>
    <col min="15360" max="15360" width="48.42578125" style="84" customWidth="1"/>
    <col min="15361" max="15361" width="33.7109375" style="84" customWidth="1"/>
    <col min="15362" max="15362" width="9.140625" style="84"/>
    <col min="15363" max="15363" width="13.7109375" style="84" bestFit="1" customWidth="1"/>
    <col min="15364" max="15614" width="9.140625" style="84"/>
    <col min="15615" max="15615" width="5.28515625" style="84" customWidth="1"/>
    <col min="15616" max="15616" width="48.42578125" style="84" customWidth="1"/>
    <col min="15617" max="15617" width="33.7109375" style="84" customWidth="1"/>
    <col min="15618" max="15618" width="9.140625" style="84"/>
    <col min="15619" max="15619" width="13.7109375" style="84" bestFit="1" customWidth="1"/>
    <col min="15620" max="15870" width="9.140625" style="84"/>
    <col min="15871" max="15871" width="5.28515625" style="84" customWidth="1"/>
    <col min="15872" max="15872" width="48.42578125" style="84" customWidth="1"/>
    <col min="15873" max="15873" width="33.7109375" style="84" customWidth="1"/>
    <col min="15874" max="15874" width="9.140625" style="84"/>
    <col min="15875" max="15875" width="13.7109375" style="84" bestFit="1" customWidth="1"/>
    <col min="15876" max="16126" width="9.140625" style="84"/>
    <col min="16127" max="16127" width="5.28515625" style="84" customWidth="1"/>
    <col min="16128" max="16128" width="48.42578125" style="84" customWidth="1"/>
    <col min="16129" max="16129" width="33.7109375" style="84" customWidth="1"/>
    <col min="16130" max="16130" width="9.140625" style="84"/>
    <col min="16131" max="16131" width="13.7109375" style="84" bestFit="1" customWidth="1"/>
    <col min="16132" max="16384" width="9.140625" style="84"/>
  </cols>
  <sheetData>
    <row r="1" spans="1:5" x14ac:dyDescent="0.25">
      <c r="A1" s="341" t="s">
        <v>187</v>
      </c>
      <c r="B1" s="341"/>
      <c r="C1" s="341"/>
      <c r="D1" s="341"/>
      <c r="E1" s="341"/>
    </row>
    <row r="2" spans="1:5" x14ac:dyDescent="0.25">
      <c r="A2" s="341" t="s">
        <v>188</v>
      </c>
      <c r="B2" s="341"/>
      <c r="C2" s="341"/>
      <c r="D2" s="341"/>
      <c r="E2" s="341"/>
    </row>
    <row r="3" spans="1:5" x14ac:dyDescent="0.25">
      <c r="A3" s="341" t="s">
        <v>189</v>
      </c>
      <c r="B3" s="341"/>
      <c r="C3" s="341"/>
      <c r="D3" s="341"/>
      <c r="E3" s="341"/>
    </row>
    <row r="4" spans="1:5" x14ac:dyDescent="0.25">
      <c r="A4" s="111"/>
      <c r="B4" s="111"/>
      <c r="C4" s="111"/>
      <c r="D4" s="111"/>
      <c r="E4" s="111"/>
    </row>
    <row r="5" spans="1:5" x14ac:dyDescent="0.25">
      <c r="A5" s="111"/>
      <c r="B5" s="111"/>
      <c r="C5" s="111"/>
      <c r="D5" s="111"/>
      <c r="E5" s="111"/>
    </row>
    <row r="6" spans="1:5" x14ac:dyDescent="0.25">
      <c r="A6" s="111"/>
      <c r="B6" s="111"/>
      <c r="C6" s="111"/>
      <c r="D6" s="111"/>
      <c r="E6" s="111"/>
    </row>
    <row r="7" spans="1:5" x14ac:dyDescent="0.25">
      <c r="A7" s="111"/>
      <c r="B7" s="111"/>
      <c r="C7" s="111"/>
      <c r="D7" s="111"/>
      <c r="E7" s="111"/>
    </row>
    <row r="8" spans="1:5" x14ac:dyDescent="0.25">
      <c r="A8" s="111"/>
      <c r="B8" s="111"/>
      <c r="C8" s="111"/>
      <c r="D8" s="111"/>
      <c r="E8" s="111"/>
    </row>
    <row r="9" spans="1:5" x14ac:dyDescent="0.25">
      <c r="A9" s="343"/>
      <c r="B9" s="343"/>
      <c r="C9" s="343"/>
      <c r="D9" s="343"/>
      <c r="E9" s="343"/>
    </row>
    <row r="10" spans="1:5" x14ac:dyDescent="0.25">
      <c r="A10" s="341" t="s">
        <v>226</v>
      </c>
      <c r="B10" s="341"/>
      <c r="C10" s="341"/>
      <c r="D10" s="341"/>
      <c r="E10" s="341"/>
    </row>
    <row r="11" spans="1:5" x14ac:dyDescent="0.25">
      <c r="A11" s="341" t="s">
        <v>598</v>
      </c>
      <c r="B11" s="341"/>
      <c r="C11" s="341"/>
      <c r="D11" s="341"/>
      <c r="E11" s="341"/>
    </row>
    <row r="12" spans="1:5" x14ac:dyDescent="0.25">
      <c r="A12" s="341" t="s">
        <v>147</v>
      </c>
      <c r="B12" s="341"/>
      <c r="C12" s="341"/>
      <c r="D12" s="341"/>
      <c r="E12" s="341"/>
    </row>
    <row r="13" spans="1:5" x14ac:dyDescent="0.25">
      <c r="A13" s="342"/>
      <c r="B13" s="342"/>
      <c r="C13" s="342"/>
      <c r="D13" s="342"/>
      <c r="E13" s="342"/>
    </row>
    <row r="14" spans="1:5" x14ac:dyDescent="0.25">
      <c r="A14" s="82"/>
      <c r="B14" s="82"/>
      <c r="C14" s="83">
        <v>2021</v>
      </c>
      <c r="D14" s="83"/>
      <c r="E14" s="83">
        <v>2020</v>
      </c>
    </row>
    <row r="15" spans="1:5" ht="15" customHeight="1" x14ac:dyDescent="0.25">
      <c r="B15" s="85" t="s">
        <v>227</v>
      </c>
    </row>
    <row r="16" spans="1:5" x14ac:dyDescent="0.2">
      <c r="B16" s="85" t="s">
        <v>228</v>
      </c>
      <c r="C16" s="86"/>
    </row>
    <row r="17" spans="2:106" x14ac:dyDescent="0.2">
      <c r="B17" s="87" t="s">
        <v>229</v>
      </c>
      <c r="C17" s="86">
        <v>353897475.63999999</v>
      </c>
      <c r="E17" s="86">
        <v>326842275.85000002</v>
      </c>
      <c r="G17" s="92"/>
      <c r="J17" s="84" t="s">
        <v>235</v>
      </c>
      <c r="K17" s="84" t="s">
        <v>235</v>
      </c>
    </row>
    <row r="18" spans="2:106" s="81" customFormat="1" x14ac:dyDescent="0.2">
      <c r="B18" s="87" t="s">
        <v>230</v>
      </c>
      <c r="C18" s="86">
        <v>127763320.48999999</v>
      </c>
      <c r="D18" s="84"/>
      <c r="E18" s="86">
        <v>177664991.55000001</v>
      </c>
      <c r="F18" s="84"/>
      <c r="G18" s="92"/>
      <c r="H18" s="104"/>
      <c r="I18" s="104"/>
      <c r="J18" s="104" t="s">
        <v>235</v>
      </c>
      <c r="K18" s="104" t="s">
        <v>235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</row>
    <row r="19" spans="2:106" s="82" customFormat="1" x14ac:dyDescent="0.2">
      <c r="B19" s="87" t="s">
        <v>231</v>
      </c>
      <c r="C19" s="86">
        <v>82468172.400000006</v>
      </c>
      <c r="D19" s="84"/>
      <c r="E19" s="86">
        <v>54729420.390000001</v>
      </c>
      <c r="F19" s="84"/>
      <c r="G19" s="92"/>
      <c r="H19" s="92"/>
      <c r="I19" s="104"/>
      <c r="J19" s="104" t="s">
        <v>235</v>
      </c>
      <c r="K19" s="104" t="s">
        <v>235</v>
      </c>
      <c r="L19" s="84" t="s">
        <v>235</v>
      </c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</row>
    <row r="20" spans="2:106" s="82" customFormat="1" x14ac:dyDescent="0.2">
      <c r="B20" s="87" t="s">
        <v>232</v>
      </c>
      <c r="C20" s="86">
        <v>1407731.91</v>
      </c>
      <c r="D20" s="261">
        <f>'NOTAS (2)'!C84</f>
        <v>604929.05000000005</v>
      </c>
      <c r="E20" s="86">
        <v>253064.8</v>
      </c>
      <c r="F20" s="84"/>
      <c r="G20" s="92"/>
      <c r="H20" s="104"/>
      <c r="I20" s="104"/>
      <c r="J20" s="104" t="s">
        <v>235</v>
      </c>
      <c r="K20" s="104" t="s">
        <v>235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</row>
    <row r="21" spans="2:106" x14ac:dyDescent="0.2">
      <c r="B21" s="85" t="s">
        <v>233</v>
      </c>
      <c r="C21" s="217">
        <f>SUM(C17:C20)</f>
        <v>565536700.43999994</v>
      </c>
      <c r="E21" s="217">
        <f>SUM(E17:E20)</f>
        <v>559489752.59000003</v>
      </c>
      <c r="G21" s="92"/>
      <c r="H21" s="104"/>
      <c r="I21" s="104"/>
      <c r="J21" s="104" t="s">
        <v>235</v>
      </c>
      <c r="K21" s="104" t="s">
        <v>235</v>
      </c>
    </row>
    <row r="22" spans="2:106" ht="15" x14ac:dyDescent="0.25">
      <c r="B22" s="88"/>
      <c r="C22" s="89"/>
      <c r="E22" s="89"/>
      <c r="G22" s="92"/>
      <c r="H22" s="261"/>
      <c r="J22" s="84" t="s">
        <v>235</v>
      </c>
      <c r="K22" s="84" t="s">
        <v>235</v>
      </c>
    </row>
    <row r="23" spans="2:106" x14ac:dyDescent="0.2">
      <c r="B23" s="85" t="s">
        <v>234</v>
      </c>
      <c r="C23" s="86"/>
      <c r="E23" s="86" t="s">
        <v>235</v>
      </c>
      <c r="G23" s="92"/>
      <c r="J23" s="84" t="s">
        <v>235</v>
      </c>
      <c r="K23" s="84" t="s">
        <v>235</v>
      </c>
    </row>
    <row r="24" spans="2:106" x14ac:dyDescent="0.2">
      <c r="B24" s="87" t="s">
        <v>550</v>
      </c>
      <c r="C24" s="86">
        <v>56145427.469999999</v>
      </c>
      <c r="E24" s="86">
        <v>98138052.269999996</v>
      </c>
      <c r="G24" s="92"/>
      <c r="H24" s="104"/>
      <c r="I24" s="104"/>
      <c r="J24" s="104" t="s">
        <v>235</v>
      </c>
      <c r="K24" s="104" t="s">
        <v>235</v>
      </c>
    </row>
    <row r="25" spans="2:106" x14ac:dyDescent="0.2">
      <c r="B25" s="85" t="s">
        <v>236</v>
      </c>
      <c r="C25" s="217">
        <f>SUM(C24)</f>
        <v>56145427.469999999</v>
      </c>
      <c r="E25" s="217">
        <f>SUM(E24)</f>
        <v>98138052.269999996</v>
      </c>
      <c r="G25" s="92"/>
      <c r="H25" s="104"/>
      <c r="I25" s="104"/>
      <c r="J25" s="104" t="s">
        <v>235</v>
      </c>
      <c r="K25" s="104" t="s">
        <v>235</v>
      </c>
    </row>
    <row r="26" spans="2:106" ht="15" x14ac:dyDescent="0.25">
      <c r="B26" s="88"/>
      <c r="C26" s="90"/>
      <c r="E26" s="90"/>
      <c r="F26" s="84" t="s">
        <v>235</v>
      </c>
      <c r="G26" s="92"/>
      <c r="H26" s="106"/>
      <c r="I26" s="106"/>
      <c r="J26" s="106" t="s">
        <v>235</v>
      </c>
      <c r="K26" s="106" t="s">
        <v>235</v>
      </c>
      <c r="L26" s="84" t="s">
        <v>235</v>
      </c>
      <c r="M26" s="84" t="s">
        <v>235</v>
      </c>
    </row>
    <row r="27" spans="2:106" ht="13.5" thickBot="1" x14ac:dyDescent="0.25">
      <c r="B27" s="85" t="s">
        <v>148</v>
      </c>
      <c r="C27" s="91">
        <f>C21+C25</f>
        <v>621682127.90999997</v>
      </c>
      <c r="E27" s="91">
        <f>+E21+E25</f>
        <v>657627804.86000001</v>
      </c>
      <c r="G27" s="92"/>
      <c r="H27" s="104"/>
    </row>
    <row r="28" spans="2:106" ht="15.75" thickTop="1" x14ac:dyDescent="0.25">
      <c r="B28" s="88"/>
      <c r="C28" s="89"/>
      <c r="E28" s="89"/>
      <c r="G28" s="92"/>
      <c r="H28" s="106"/>
    </row>
    <row r="29" spans="2:106" x14ac:dyDescent="0.2">
      <c r="B29" s="85" t="s">
        <v>237</v>
      </c>
      <c r="C29" s="86"/>
      <c r="E29" s="86"/>
      <c r="G29" s="92"/>
      <c r="H29" s="106"/>
    </row>
    <row r="30" spans="2:106" x14ac:dyDescent="0.2">
      <c r="B30" s="85" t="s">
        <v>238</v>
      </c>
      <c r="C30" s="86"/>
      <c r="E30" s="86"/>
      <c r="G30" s="92"/>
      <c r="H30" s="106"/>
    </row>
    <row r="31" spans="2:106" x14ac:dyDescent="0.2">
      <c r="B31" s="87" t="s">
        <v>239</v>
      </c>
      <c r="C31" s="86">
        <v>77901336.040000007</v>
      </c>
      <c r="E31" s="86">
        <v>47709434.920000002</v>
      </c>
      <c r="G31" s="92"/>
      <c r="H31" s="92"/>
      <c r="I31" s="92"/>
      <c r="J31" s="92"/>
      <c r="K31" s="92"/>
    </row>
    <row r="32" spans="2:106" x14ac:dyDescent="0.2">
      <c r="B32" s="87" t="s">
        <v>551</v>
      </c>
      <c r="C32" s="86">
        <v>394280.05</v>
      </c>
      <c r="E32" s="86">
        <v>68918.070000000007</v>
      </c>
      <c r="G32" s="92"/>
      <c r="H32" s="104"/>
    </row>
    <row r="33" spans="1:12" x14ac:dyDescent="0.2">
      <c r="B33" s="85" t="s">
        <v>240</v>
      </c>
      <c r="C33" s="217">
        <f>SUM(C31:C32)</f>
        <v>78295616.090000004</v>
      </c>
      <c r="E33" s="217">
        <f>SUM(E31:E32)</f>
        <v>47778352.990000002</v>
      </c>
      <c r="G33" s="92"/>
      <c r="H33" s="104"/>
    </row>
    <row r="34" spans="1:12" ht="15" x14ac:dyDescent="0.25">
      <c r="B34" s="88"/>
      <c r="C34" s="90"/>
      <c r="E34" s="90"/>
      <c r="G34" s="92"/>
    </row>
    <row r="35" spans="1:12" ht="13.5" thickBot="1" x14ac:dyDescent="0.25">
      <c r="B35" s="85" t="s">
        <v>241</v>
      </c>
      <c r="C35" s="91">
        <f>C33</f>
        <v>78295616.090000004</v>
      </c>
      <c r="E35" s="91">
        <f>+E33</f>
        <v>47778352.990000002</v>
      </c>
      <c r="G35" s="92"/>
      <c r="H35" s="106"/>
    </row>
    <row r="36" spans="1:12" ht="13.5" thickTop="1" x14ac:dyDescent="0.2">
      <c r="B36" s="85"/>
      <c r="C36" s="89"/>
      <c r="E36" s="89"/>
      <c r="G36" s="92"/>
    </row>
    <row r="37" spans="1:12" ht="15" x14ac:dyDescent="0.25">
      <c r="B37" s="93" t="s">
        <v>242</v>
      </c>
      <c r="C37" s="90"/>
      <c r="E37" s="90"/>
      <c r="G37" s="92"/>
      <c r="H37" s="92"/>
      <c r="I37" s="92"/>
      <c r="J37" s="92" t="s">
        <v>235</v>
      </c>
      <c r="K37" s="92" t="s">
        <v>235</v>
      </c>
    </row>
    <row r="38" spans="1:12" x14ac:dyDescent="0.2">
      <c r="B38" s="87" t="s">
        <v>243</v>
      </c>
      <c r="C38" s="86">
        <v>534638142.77999997</v>
      </c>
      <c r="E38" s="86">
        <v>534638142.77999997</v>
      </c>
      <c r="G38" s="92"/>
      <c r="H38" s="104"/>
      <c r="I38" s="104"/>
      <c r="J38" s="104" t="s">
        <v>235</v>
      </c>
      <c r="K38" s="104" t="s">
        <v>235</v>
      </c>
    </row>
    <row r="39" spans="1:12" ht="25.5" x14ac:dyDescent="0.2">
      <c r="B39" s="87" t="s">
        <v>244</v>
      </c>
      <c r="C39" s="92">
        <v>-19947991.079999998</v>
      </c>
      <c r="E39" s="154">
        <v>53563352.950000003</v>
      </c>
      <c r="G39" s="92"/>
      <c r="H39" s="106"/>
      <c r="J39" s="84" t="s">
        <v>235</v>
      </c>
      <c r="K39" s="84" t="s">
        <v>235</v>
      </c>
    </row>
    <row r="40" spans="1:12" x14ac:dyDescent="0.2">
      <c r="B40" s="87" t="s">
        <v>245</v>
      </c>
      <c r="C40" s="86">
        <v>28696360.120000001</v>
      </c>
      <c r="E40" s="86">
        <v>21647956.140000001</v>
      </c>
      <c r="F40" s="84" t="s">
        <v>235</v>
      </c>
      <c r="G40" s="92"/>
      <c r="H40" s="104"/>
      <c r="I40" s="104"/>
      <c r="J40" s="104" t="s">
        <v>235</v>
      </c>
      <c r="K40" s="104" t="s">
        <v>235</v>
      </c>
    </row>
    <row r="41" spans="1:12" x14ac:dyDescent="0.2">
      <c r="B41" s="87" t="s">
        <v>246</v>
      </c>
      <c r="C41" s="217">
        <f>SUM(C38:C40)</f>
        <v>543386511.81999993</v>
      </c>
      <c r="E41" s="217">
        <f>SUM(E38:E40)</f>
        <v>609849451.87</v>
      </c>
      <c r="G41" s="92"/>
      <c r="K41" s="84" t="s">
        <v>235</v>
      </c>
    </row>
    <row r="42" spans="1:12" ht="15" x14ac:dyDescent="0.25">
      <c r="B42" s="88"/>
      <c r="C42" s="90"/>
      <c r="E42" s="90"/>
      <c r="G42" s="92"/>
    </row>
    <row r="43" spans="1:12" ht="13.5" thickBot="1" x14ac:dyDescent="0.25">
      <c r="B43" s="85" t="s">
        <v>247</v>
      </c>
      <c r="C43" s="91">
        <f>+C35+C41</f>
        <v>621682127.90999997</v>
      </c>
      <c r="E43" s="91">
        <f>+E35+E41</f>
        <v>657627804.86000001</v>
      </c>
      <c r="G43" s="92"/>
      <c r="H43" s="92"/>
    </row>
    <row r="44" spans="1:12" ht="13.5" thickTop="1" x14ac:dyDescent="0.25">
      <c r="B44" s="94"/>
      <c r="C44" s="15"/>
      <c r="G44" s="104"/>
      <c r="H44" s="92"/>
      <c r="J44" s="84" t="s">
        <v>235</v>
      </c>
      <c r="K44" s="84" t="s">
        <v>235</v>
      </c>
      <c r="L44" s="84" t="s">
        <v>235</v>
      </c>
    </row>
    <row r="45" spans="1:12" x14ac:dyDescent="0.25">
      <c r="B45" s="94"/>
      <c r="C45" s="15"/>
      <c r="D45" s="84" t="s">
        <v>235</v>
      </c>
      <c r="E45" s="104" t="s">
        <v>235</v>
      </c>
      <c r="G45" s="104"/>
      <c r="H45" s="106"/>
      <c r="I45" s="106"/>
      <c r="J45" s="106" t="s">
        <v>235</v>
      </c>
      <c r="K45" s="106" t="s">
        <v>235</v>
      </c>
      <c r="L45" s="84" t="s">
        <v>235</v>
      </c>
    </row>
    <row r="46" spans="1:12" x14ac:dyDescent="0.25">
      <c r="B46" s="94"/>
      <c r="C46" s="15" t="s">
        <v>235</v>
      </c>
      <c r="D46" s="84" t="s">
        <v>235</v>
      </c>
      <c r="E46" s="104" t="s">
        <v>235</v>
      </c>
      <c r="G46" s="104"/>
      <c r="H46" s="104"/>
      <c r="I46" s="104"/>
      <c r="J46" s="104" t="s">
        <v>235</v>
      </c>
      <c r="K46" s="104" t="s">
        <v>235</v>
      </c>
      <c r="L46" s="84" t="s">
        <v>235</v>
      </c>
    </row>
    <row r="47" spans="1:12" customFormat="1" ht="15" x14ac:dyDescent="0.25">
      <c r="A47" s="340" t="s">
        <v>235</v>
      </c>
      <c r="B47" s="340"/>
      <c r="C47" s="340"/>
      <c r="D47" s="340"/>
      <c r="E47" s="340"/>
      <c r="G47" s="20" t="s">
        <v>235</v>
      </c>
      <c r="H47" s="20" t="s">
        <v>235</v>
      </c>
      <c r="I47" s="20" t="s">
        <v>235</v>
      </c>
      <c r="J47" s="20" t="s">
        <v>235</v>
      </c>
      <c r="K47" s="20" t="s">
        <v>235</v>
      </c>
      <c r="L47" t="s">
        <v>235</v>
      </c>
    </row>
    <row r="48" spans="1:12" customFormat="1" ht="15" x14ac:dyDescent="0.25">
      <c r="A48" s="340" t="s">
        <v>235</v>
      </c>
      <c r="B48" s="340"/>
      <c r="C48" s="340"/>
      <c r="D48" s="340"/>
      <c r="E48" s="340"/>
      <c r="G48" s="20" t="s">
        <v>263</v>
      </c>
      <c r="H48" s="20" t="s">
        <v>235</v>
      </c>
      <c r="I48" s="20" t="s">
        <v>235</v>
      </c>
      <c r="J48" s="20" t="s">
        <v>235</v>
      </c>
      <c r="K48" s="20" t="s">
        <v>235</v>
      </c>
      <c r="L48" t="s">
        <v>235</v>
      </c>
    </row>
    <row r="49" spans="1:12" customFormat="1" ht="15" x14ac:dyDescent="0.25">
      <c r="B49" s="19" t="s">
        <v>235</v>
      </c>
      <c r="L49" t="s">
        <v>235</v>
      </c>
    </row>
    <row r="50" spans="1:12" customFormat="1" ht="15" x14ac:dyDescent="0.25">
      <c r="D50" t="s">
        <v>235</v>
      </c>
      <c r="E50" s="78" t="s">
        <v>235</v>
      </c>
      <c r="F50" t="s">
        <v>235</v>
      </c>
      <c r="G50" s="105" t="s">
        <v>235</v>
      </c>
      <c r="H50" s="105" t="s">
        <v>235</v>
      </c>
      <c r="I50" s="105" t="s">
        <v>235</v>
      </c>
      <c r="J50" s="105" t="s">
        <v>235</v>
      </c>
      <c r="K50" s="105" t="s">
        <v>235</v>
      </c>
      <c r="L50" t="s">
        <v>235</v>
      </c>
    </row>
    <row r="51" spans="1:12" customFormat="1" ht="15" x14ac:dyDescent="0.25">
      <c r="G51" s="105" t="s">
        <v>235</v>
      </c>
      <c r="H51" s="105" t="s">
        <v>235</v>
      </c>
      <c r="I51" s="105" t="s">
        <v>235</v>
      </c>
      <c r="J51" s="105" t="s">
        <v>235</v>
      </c>
      <c r="K51" s="105" t="s">
        <v>235</v>
      </c>
    </row>
    <row r="52" spans="1:12" customFormat="1" ht="15" x14ac:dyDescent="0.25">
      <c r="A52" s="340" t="s">
        <v>519</v>
      </c>
      <c r="B52" s="340"/>
      <c r="C52" s="340" t="s">
        <v>599</v>
      </c>
      <c r="D52" s="340"/>
      <c r="E52" s="340"/>
    </row>
    <row r="53" spans="1:12" customFormat="1" ht="15" x14ac:dyDescent="0.25">
      <c r="A53" s="340" t="s">
        <v>185</v>
      </c>
      <c r="B53" s="340"/>
      <c r="C53" s="340" t="s">
        <v>600</v>
      </c>
      <c r="D53" s="340"/>
      <c r="E53" s="340"/>
    </row>
    <row r="54" spans="1:12" customFormat="1" ht="15" x14ac:dyDescent="0.25">
      <c r="B54" s="340"/>
      <c r="C54" s="340"/>
    </row>
    <row r="55" spans="1:12" customFormat="1" ht="15" x14ac:dyDescent="0.25"/>
    <row r="56" spans="1:12" customFormat="1" ht="15" x14ac:dyDescent="0.25"/>
    <row r="57" spans="1:12" customFormat="1" ht="15" x14ac:dyDescent="0.25">
      <c r="A57" t="s">
        <v>248</v>
      </c>
      <c r="C57" t="s">
        <v>253</v>
      </c>
    </row>
    <row r="58" spans="1:12" x14ac:dyDescent="0.25">
      <c r="B58" s="94"/>
      <c r="C58" s="15"/>
    </row>
    <row r="59" spans="1:12" x14ac:dyDescent="0.25">
      <c r="A59" s="16"/>
      <c r="B59" s="95"/>
    </row>
    <row r="60" spans="1:12" x14ac:dyDescent="0.25">
      <c r="A60" s="16"/>
      <c r="B60" s="96"/>
    </row>
    <row r="61" spans="1:12" x14ac:dyDescent="0.25">
      <c r="A61" s="16"/>
      <c r="B61" s="96"/>
    </row>
    <row r="62" spans="1:12" x14ac:dyDescent="0.25">
      <c r="A62" s="16"/>
      <c r="B62" s="96"/>
    </row>
    <row r="63" spans="1:12" x14ac:dyDescent="0.25">
      <c r="A63" s="16"/>
      <c r="B63" s="96"/>
    </row>
    <row r="64" spans="1:12" x14ac:dyDescent="0.25">
      <c r="A64" s="16"/>
      <c r="B64" s="96"/>
    </row>
    <row r="65" spans="1:2" x14ac:dyDescent="0.25">
      <c r="A65" s="16"/>
      <c r="B65" s="96"/>
    </row>
    <row r="66" spans="1:2" x14ac:dyDescent="0.25">
      <c r="A66" s="16"/>
      <c r="B66" s="96"/>
    </row>
    <row r="67" spans="1:2" x14ac:dyDescent="0.25">
      <c r="A67" s="16"/>
      <c r="B67" s="96"/>
    </row>
    <row r="68" spans="1:2" x14ac:dyDescent="0.25">
      <c r="A68" s="16"/>
      <c r="B68" s="96"/>
    </row>
    <row r="69" spans="1:2" x14ac:dyDescent="0.25">
      <c r="A69" s="16"/>
      <c r="B69" s="96"/>
    </row>
    <row r="70" spans="1:2" x14ac:dyDescent="0.25">
      <c r="A70" s="16"/>
      <c r="B70" s="96"/>
    </row>
    <row r="71" spans="1:2" x14ac:dyDescent="0.25">
      <c r="A71" s="16"/>
      <c r="B71" s="96"/>
    </row>
    <row r="72" spans="1:2" x14ac:dyDescent="0.25">
      <c r="A72" s="16"/>
      <c r="B72" s="96"/>
    </row>
    <row r="73" spans="1:2" x14ac:dyDescent="0.25">
      <c r="A73" s="16"/>
      <c r="B73" s="96"/>
    </row>
    <row r="74" spans="1:2" x14ac:dyDescent="0.25">
      <c r="A74" s="16"/>
      <c r="B74" s="96"/>
    </row>
    <row r="75" spans="1:2" x14ac:dyDescent="0.25">
      <c r="A75" s="16"/>
      <c r="B75" s="96"/>
    </row>
    <row r="76" spans="1:2" x14ac:dyDescent="0.25">
      <c r="A76" s="16"/>
      <c r="B76" s="96"/>
    </row>
    <row r="77" spans="1:2" x14ac:dyDescent="0.25">
      <c r="A77" s="16"/>
      <c r="B77" s="96"/>
    </row>
    <row r="78" spans="1:2" x14ac:dyDescent="0.25">
      <c r="A78" s="16"/>
      <c r="B78" s="96"/>
    </row>
    <row r="79" spans="1:2" x14ac:dyDescent="0.25">
      <c r="A79" s="16"/>
      <c r="B79" s="96"/>
    </row>
    <row r="80" spans="1:2" x14ac:dyDescent="0.25">
      <c r="A80" s="16"/>
      <c r="B80" s="96"/>
    </row>
    <row r="81" spans="1:2" x14ac:dyDescent="0.25">
      <c r="A81" s="16"/>
      <c r="B81" s="96"/>
    </row>
    <row r="82" spans="1:2" x14ac:dyDescent="0.25">
      <c r="A82" s="16"/>
      <c r="B82" s="96"/>
    </row>
    <row r="83" spans="1:2" x14ac:dyDescent="0.25">
      <c r="A83" s="16"/>
      <c r="B83" s="96"/>
    </row>
    <row r="84" spans="1:2" x14ac:dyDescent="0.25">
      <c r="A84" s="16"/>
      <c r="B84" s="96"/>
    </row>
    <row r="85" spans="1:2" x14ac:dyDescent="0.25">
      <c r="A85" s="16"/>
      <c r="B85" s="96"/>
    </row>
    <row r="86" spans="1:2" x14ac:dyDescent="0.25">
      <c r="A86" s="16"/>
      <c r="B86" s="96"/>
    </row>
    <row r="87" spans="1:2" x14ac:dyDescent="0.25">
      <c r="A87" s="16"/>
      <c r="B87" s="96"/>
    </row>
    <row r="88" spans="1:2" x14ac:dyDescent="0.25">
      <c r="A88" s="16"/>
      <c r="B88" s="96"/>
    </row>
    <row r="89" spans="1:2" x14ac:dyDescent="0.25">
      <c r="A89" s="16"/>
      <c r="B89" s="96"/>
    </row>
    <row r="90" spans="1:2" x14ac:dyDescent="0.25">
      <c r="A90" s="16"/>
      <c r="B90" s="96"/>
    </row>
    <row r="91" spans="1:2" x14ac:dyDescent="0.25">
      <c r="A91" s="16"/>
      <c r="B91" s="96"/>
    </row>
    <row r="92" spans="1:2" x14ac:dyDescent="0.25">
      <c r="A92" s="16"/>
      <c r="B92" s="96"/>
    </row>
    <row r="93" spans="1:2" x14ac:dyDescent="0.25">
      <c r="A93" s="16"/>
      <c r="B93" s="96"/>
    </row>
    <row r="94" spans="1:2" x14ac:dyDescent="0.25">
      <c r="A94" s="16"/>
      <c r="B94" s="96"/>
    </row>
    <row r="95" spans="1:2" x14ac:dyDescent="0.25">
      <c r="A95" s="16"/>
      <c r="B95" s="96"/>
    </row>
    <row r="96" spans="1:2" x14ac:dyDescent="0.25">
      <c r="A96" s="16"/>
      <c r="B96" s="96"/>
    </row>
    <row r="97" spans="1:2" x14ac:dyDescent="0.25">
      <c r="A97" s="16"/>
      <c r="B97" s="96"/>
    </row>
    <row r="98" spans="1:2" x14ac:dyDescent="0.25">
      <c r="A98" s="16"/>
      <c r="B98" s="96"/>
    </row>
    <row r="99" spans="1:2" x14ac:dyDescent="0.25">
      <c r="A99" s="16"/>
      <c r="B99" s="96"/>
    </row>
    <row r="100" spans="1:2" x14ac:dyDescent="0.25">
      <c r="A100" s="16"/>
      <c r="B100" s="96"/>
    </row>
    <row r="101" spans="1:2" x14ac:dyDescent="0.25">
      <c r="A101" s="16"/>
      <c r="B101" s="96"/>
    </row>
    <row r="102" spans="1:2" x14ac:dyDescent="0.25">
      <c r="A102" s="16"/>
      <c r="B102" s="96"/>
    </row>
    <row r="103" spans="1:2" x14ac:dyDescent="0.25">
      <c r="A103" s="16"/>
      <c r="B103" s="96"/>
    </row>
    <row r="104" spans="1:2" x14ac:dyDescent="0.25">
      <c r="A104" s="16"/>
      <c r="B104" s="96"/>
    </row>
    <row r="105" spans="1:2" x14ac:dyDescent="0.25">
      <c r="A105" s="16"/>
      <c r="B105" s="96"/>
    </row>
    <row r="106" spans="1:2" x14ac:dyDescent="0.25">
      <c r="A106" s="16"/>
      <c r="B106" s="96"/>
    </row>
    <row r="107" spans="1:2" x14ac:dyDescent="0.25">
      <c r="A107" s="16"/>
      <c r="B107" s="96"/>
    </row>
    <row r="108" spans="1:2" x14ac:dyDescent="0.25">
      <c r="A108" s="16"/>
      <c r="B108" s="96"/>
    </row>
    <row r="109" spans="1:2" x14ac:dyDescent="0.25">
      <c r="A109" s="16"/>
      <c r="B109" s="96"/>
    </row>
    <row r="110" spans="1:2" x14ac:dyDescent="0.25">
      <c r="A110" s="16"/>
      <c r="B110" s="96"/>
    </row>
    <row r="111" spans="1:2" x14ac:dyDescent="0.25">
      <c r="A111" s="16"/>
      <c r="B111" s="96"/>
    </row>
    <row r="112" spans="1:2" x14ac:dyDescent="0.25">
      <c r="A112" s="16"/>
      <c r="B112" s="96"/>
    </row>
    <row r="113" spans="1:2" x14ac:dyDescent="0.25">
      <c r="A113" s="16"/>
      <c r="B113" s="96"/>
    </row>
    <row r="114" spans="1:2" x14ac:dyDescent="0.25">
      <c r="A114" s="16"/>
      <c r="B114" s="96"/>
    </row>
    <row r="115" spans="1:2" x14ac:dyDescent="0.25">
      <c r="A115" s="16"/>
      <c r="B115" s="96"/>
    </row>
    <row r="116" spans="1:2" x14ac:dyDescent="0.25">
      <c r="A116" s="16"/>
      <c r="B116" s="96"/>
    </row>
    <row r="117" spans="1:2" x14ac:dyDescent="0.25">
      <c r="A117" s="16"/>
      <c r="B117" s="96"/>
    </row>
    <row r="118" spans="1:2" x14ac:dyDescent="0.25">
      <c r="A118" s="16"/>
      <c r="B118" s="96"/>
    </row>
    <row r="119" spans="1:2" x14ac:dyDescent="0.25">
      <c r="A119" s="16"/>
      <c r="B119" s="96"/>
    </row>
    <row r="120" spans="1:2" x14ac:dyDescent="0.25">
      <c r="A120" s="16"/>
      <c r="B120" s="96"/>
    </row>
    <row r="121" spans="1:2" x14ac:dyDescent="0.25">
      <c r="A121" s="16"/>
      <c r="B121" s="96"/>
    </row>
    <row r="122" spans="1:2" x14ac:dyDescent="0.25">
      <c r="A122" s="16"/>
      <c r="B122" s="96"/>
    </row>
    <row r="123" spans="1:2" x14ac:dyDescent="0.25">
      <c r="A123" s="16"/>
      <c r="B123" s="96"/>
    </row>
    <row r="124" spans="1:2" x14ac:dyDescent="0.25">
      <c r="A124" s="16"/>
      <c r="B124" s="96"/>
    </row>
    <row r="125" spans="1:2" x14ac:dyDescent="0.25">
      <c r="A125" s="16"/>
      <c r="B125" s="96"/>
    </row>
    <row r="126" spans="1:2" x14ac:dyDescent="0.25">
      <c r="A126" s="16"/>
      <c r="B126" s="96"/>
    </row>
    <row r="127" spans="1:2" x14ac:dyDescent="0.25">
      <c r="A127" s="16"/>
      <c r="B127" s="96"/>
    </row>
    <row r="128" spans="1:2" x14ac:dyDescent="0.25">
      <c r="A128" s="16"/>
      <c r="B128" s="96"/>
    </row>
    <row r="129" spans="1:2" x14ac:dyDescent="0.25">
      <c r="A129" s="16"/>
      <c r="B129" s="96"/>
    </row>
    <row r="130" spans="1:2" x14ac:dyDescent="0.25">
      <c r="A130" s="16"/>
      <c r="B130" s="96"/>
    </row>
    <row r="131" spans="1:2" x14ac:dyDescent="0.25">
      <c r="A131" s="16"/>
      <c r="B131" s="96"/>
    </row>
    <row r="132" spans="1:2" x14ac:dyDescent="0.25">
      <c r="A132" s="16"/>
      <c r="B132" s="96"/>
    </row>
    <row r="133" spans="1:2" x14ac:dyDescent="0.25">
      <c r="A133" s="16"/>
      <c r="B133" s="96"/>
    </row>
    <row r="134" spans="1:2" x14ac:dyDescent="0.25">
      <c r="A134" s="16"/>
      <c r="B134" s="96"/>
    </row>
    <row r="135" spans="1:2" x14ac:dyDescent="0.25">
      <c r="A135" s="16"/>
      <c r="B135" s="96"/>
    </row>
    <row r="136" spans="1:2" x14ac:dyDescent="0.25">
      <c r="A136" s="16"/>
      <c r="B136" s="96"/>
    </row>
    <row r="137" spans="1:2" x14ac:dyDescent="0.25">
      <c r="A137" s="16"/>
      <c r="B137" s="96"/>
    </row>
    <row r="138" spans="1:2" x14ac:dyDescent="0.25">
      <c r="A138" s="16"/>
      <c r="B138" s="96"/>
    </row>
    <row r="139" spans="1:2" x14ac:dyDescent="0.25">
      <c r="A139" s="16"/>
      <c r="B139" s="96"/>
    </row>
    <row r="140" spans="1:2" x14ac:dyDescent="0.25">
      <c r="A140" s="16"/>
      <c r="B140" s="96"/>
    </row>
    <row r="141" spans="1:2" x14ac:dyDescent="0.25">
      <c r="A141" s="16"/>
      <c r="B141" s="96"/>
    </row>
    <row r="142" spans="1:2" x14ac:dyDescent="0.25">
      <c r="A142" s="16"/>
      <c r="B142" s="96"/>
    </row>
    <row r="143" spans="1:2" x14ac:dyDescent="0.25">
      <c r="A143" s="16"/>
      <c r="B143" s="96"/>
    </row>
    <row r="144" spans="1:2" x14ac:dyDescent="0.25">
      <c r="A144" s="16"/>
      <c r="B144" s="96"/>
    </row>
    <row r="145" spans="1:2" x14ac:dyDescent="0.25">
      <c r="A145" s="16"/>
      <c r="B145" s="96"/>
    </row>
    <row r="146" spans="1:2" x14ac:dyDescent="0.25">
      <c r="A146" s="16"/>
      <c r="B146" s="96"/>
    </row>
    <row r="147" spans="1:2" x14ac:dyDescent="0.25">
      <c r="A147" s="16"/>
      <c r="B147" s="96"/>
    </row>
    <row r="148" spans="1:2" x14ac:dyDescent="0.25">
      <c r="A148" s="16"/>
      <c r="B148" s="96"/>
    </row>
    <row r="149" spans="1:2" x14ac:dyDescent="0.25">
      <c r="A149" s="16"/>
      <c r="B149" s="96"/>
    </row>
    <row r="150" spans="1:2" x14ac:dyDescent="0.25">
      <c r="A150" s="16"/>
      <c r="B150" s="96"/>
    </row>
    <row r="151" spans="1:2" x14ac:dyDescent="0.25">
      <c r="A151" s="16"/>
      <c r="B151" s="96"/>
    </row>
    <row r="152" spans="1:2" x14ac:dyDescent="0.25">
      <c r="A152" s="16"/>
      <c r="B152" s="96"/>
    </row>
    <row r="153" spans="1:2" x14ac:dyDescent="0.25">
      <c r="A153" s="16"/>
      <c r="B153" s="96"/>
    </row>
    <row r="154" spans="1:2" x14ac:dyDescent="0.25">
      <c r="A154" s="16"/>
      <c r="B154" s="96"/>
    </row>
    <row r="155" spans="1:2" x14ac:dyDescent="0.25">
      <c r="A155" s="16"/>
      <c r="B155" s="96"/>
    </row>
    <row r="156" spans="1:2" x14ac:dyDescent="0.25">
      <c r="A156" s="16"/>
      <c r="B156" s="96"/>
    </row>
    <row r="157" spans="1:2" x14ac:dyDescent="0.25">
      <c r="A157" s="16"/>
      <c r="B157" s="96"/>
    </row>
    <row r="158" spans="1:2" x14ac:dyDescent="0.25">
      <c r="A158" s="16"/>
      <c r="B158" s="96"/>
    </row>
    <row r="159" spans="1:2" x14ac:dyDescent="0.25">
      <c r="A159" s="16"/>
      <c r="B159" s="96"/>
    </row>
    <row r="160" spans="1:2" x14ac:dyDescent="0.25">
      <c r="A160" s="16"/>
      <c r="B160" s="96"/>
    </row>
    <row r="161" spans="1:2" x14ac:dyDescent="0.25">
      <c r="A161" s="16"/>
      <c r="B161" s="96"/>
    </row>
    <row r="162" spans="1:2" x14ac:dyDescent="0.25">
      <c r="A162" s="16"/>
      <c r="B162" s="96"/>
    </row>
    <row r="163" spans="1:2" x14ac:dyDescent="0.25">
      <c r="A163" s="16"/>
      <c r="B163" s="96"/>
    </row>
    <row r="164" spans="1:2" x14ac:dyDescent="0.25">
      <c r="A164" s="16"/>
      <c r="B164" s="96"/>
    </row>
    <row r="165" spans="1:2" x14ac:dyDescent="0.25">
      <c r="A165" s="16"/>
      <c r="B165" s="96"/>
    </row>
    <row r="166" spans="1:2" x14ac:dyDescent="0.25">
      <c r="A166" s="16"/>
      <c r="B166" s="96"/>
    </row>
    <row r="167" spans="1:2" x14ac:dyDescent="0.25">
      <c r="A167" s="16"/>
      <c r="B167" s="96"/>
    </row>
    <row r="168" spans="1:2" x14ac:dyDescent="0.25">
      <c r="A168" s="16"/>
      <c r="B168" s="96"/>
    </row>
    <row r="169" spans="1:2" x14ac:dyDescent="0.25">
      <c r="A169" s="16"/>
      <c r="B169" s="96"/>
    </row>
    <row r="170" spans="1:2" x14ac:dyDescent="0.25">
      <c r="A170" s="16"/>
      <c r="B170" s="96"/>
    </row>
  </sheetData>
  <mergeCells count="15">
    <mergeCell ref="A1:E1"/>
    <mergeCell ref="A2:E2"/>
    <mergeCell ref="A3:E3"/>
    <mergeCell ref="A9:E9"/>
    <mergeCell ref="A10:E10"/>
    <mergeCell ref="A11:E11"/>
    <mergeCell ref="A12:E12"/>
    <mergeCell ref="A13:E13"/>
    <mergeCell ref="A47:E47"/>
    <mergeCell ref="A48:E48"/>
    <mergeCell ref="B54:C54"/>
    <mergeCell ref="A52:B52"/>
    <mergeCell ref="C52:E52"/>
    <mergeCell ref="A53:B53"/>
    <mergeCell ref="C53:E53"/>
  </mergeCells>
  <pageMargins left="0.7" right="0.7" top="0.75" bottom="0.75" header="0.3" footer="0.3"/>
  <pageSetup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8"/>
  <sheetViews>
    <sheetView topLeftCell="A9" workbookViewId="0">
      <selection activeCell="D42" sqref="D42"/>
    </sheetView>
  </sheetViews>
  <sheetFormatPr baseColWidth="10" defaultRowHeight="15" x14ac:dyDescent="0.25"/>
  <cols>
    <col min="2" max="2" width="8.28515625" customWidth="1"/>
    <col min="3" max="3" width="50.28515625" customWidth="1"/>
    <col min="4" max="4" width="13.7109375" bestFit="1" customWidth="1"/>
    <col min="5" max="5" width="4.7109375" bestFit="1" customWidth="1"/>
    <col min="6" max="6" width="13.85546875" bestFit="1" customWidth="1"/>
  </cols>
  <sheetData>
    <row r="3" spans="2:6" x14ac:dyDescent="0.25">
      <c r="B3" s="341" t="s">
        <v>188</v>
      </c>
      <c r="C3" s="341"/>
      <c r="D3" s="341"/>
      <c r="E3" s="341"/>
      <c r="F3" s="341"/>
    </row>
    <row r="4" spans="2:6" x14ac:dyDescent="0.25">
      <c r="B4" s="341" t="s">
        <v>189</v>
      </c>
      <c r="C4" s="341"/>
      <c r="D4" s="341"/>
      <c r="E4" s="341"/>
      <c r="F4" s="341"/>
    </row>
    <row r="5" spans="2:6" x14ac:dyDescent="0.25">
      <c r="B5" s="269"/>
      <c r="C5" s="269"/>
      <c r="D5" s="269"/>
      <c r="E5" s="269"/>
      <c r="F5" s="269"/>
    </row>
    <row r="6" spans="2:6" x14ac:dyDescent="0.25">
      <c r="B6" s="269"/>
      <c r="C6" s="269"/>
      <c r="D6" s="269"/>
      <c r="E6" s="269"/>
      <c r="F6" s="269"/>
    </row>
    <row r="7" spans="2:6" x14ac:dyDescent="0.25">
      <c r="B7" s="269"/>
      <c r="C7" s="269"/>
      <c r="D7" s="269"/>
      <c r="E7" s="269"/>
      <c r="F7" s="269"/>
    </row>
    <row r="8" spans="2:6" x14ac:dyDescent="0.25">
      <c r="B8" s="269"/>
      <c r="C8" s="269"/>
      <c r="D8" s="269"/>
      <c r="E8" s="269"/>
      <c r="F8" s="269"/>
    </row>
    <row r="9" spans="2:6" x14ac:dyDescent="0.25">
      <c r="B9" s="269"/>
      <c r="C9" s="269"/>
      <c r="D9" s="269"/>
      <c r="E9" s="269"/>
      <c r="F9" s="269"/>
    </row>
    <row r="10" spans="2:6" x14ac:dyDescent="0.25">
      <c r="B10" s="343"/>
      <c r="C10" s="343"/>
      <c r="D10" s="343"/>
      <c r="E10" s="343"/>
      <c r="F10" s="343"/>
    </row>
    <row r="11" spans="2:6" x14ac:dyDescent="0.25">
      <c r="B11" s="341" t="s">
        <v>226</v>
      </c>
      <c r="C11" s="341"/>
      <c r="D11" s="341"/>
      <c r="E11" s="341"/>
      <c r="F11" s="341"/>
    </row>
    <row r="12" spans="2:6" x14ac:dyDescent="0.25">
      <c r="B12" s="341" t="s">
        <v>594</v>
      </c>
      <c r="C12" s="341"/>
      <c r="D12" s="341"/>
      <c r="E12" s="341"/>
      <c r="F12" s="341"/>
    </row>
    <row r="13" spans="2:6" x14ac:dyDescent="0.25">
      <c r="B13" s="341" t="s">
        <v>147</v>
      </c>
      <c r="C13" s="341"/>
      <c r="D13" s="341"/>
      <c r="E13" s="341"/>
      <c r="F13" s="341"/>
    </row>
    <row r="14" spans="2:6" x14ac:dyDescent="0.25">
      <c r="B14" s="342"/>
      <c r="C14" s="342"/>
      <c r="D14" s="342"/>
      <c r="E14" s="342"/>
      <c r="F14" s="342"/>
    </row>
    <row r="15" spans="2:6" x14ac:dyDescent="0.25">
      <c r="B15" s="270"/>
      <c r="C15" s="305"/>
      <c r="D15" s="306">
        <v>2021</v>
      </c>
      <c r="E15" s="271"/>
      <c r="F15" s="271"/>
    </row>
    <row r="16" spans="2:6" x14ac:dyDescent="0.25">
      <c r="B16" s="84"/>
      <c r="C16" s="85" t="s">
        <v>227</v>
      </c>
      <c r="D16" s="84"/>
      <c r="E16" s="84"/>
      <c r="F16" s="84"/>
    </row>
    <row r="17" spans="2:6" x14ac:dyDescent="0.25">
      <c r="B17" s="84"/>
      <c r="C17" s="85" t="s">
        <v>228</v>
      </c>
      <c r="D17" s="86"/>
      <c r="E17" s="84"/>
      <c r="F17" s="84"/>
    </row>
    <row r="18" spans="2:6" ht="16.5" customHeight="1" x14ac:dyDescent="0.25">
      <c r="B18" s="84"/>
      <c r="C18" s="87" t="s">
        <v>229</v>
      </c>
      <c r="D18" s="86">
        <f>'BALANCE GENERAL'!C17</f>
        <v>353897475.63999999</v>
      </c>
      <c r="E18" s="84"/>
      <c r="F18" s="272"/>
    </row>
    <row r="19" spans="2:6" ht="16.5" customHeight="1" x14ac:dyDescent="0.25">
      <c r="B19" s="269"/>
      <c r="C19" s="87" t="s">
        <v>230</v>
      </c>
      <c r="D19" s="86">
        <f>'BALANCE GENERAL'!C18</f>
        <v>127763320.48999999</v>
      </c>
      <c r="E19" s="84"/>
      <c r="F19" s="272"/>
    </row>
    <row r="20" spans="2:6" x14ac:dyDescent="0.25">
      <c r="B20" s="270"/>
      <c r="C20" s="87" t="s">
        <v>231</v>
      </c>
      <c r="D20" s="86">
        <f>'BALANCE GENERAL'!C19</f>
        <v>82468172.400000006</v>
      </c>
      <c r="E20" s="84"/>
      <c r="F20" s="272"/>
    </row>
    <row r="21" spans="2:6" x14ac:dyDescent="0.25">
      <c r="B21" s="270"/>
      <c r="C21" s="87" t="s">
        <v>232</v>
      </c>
      <c r="D21" s="86">
        <f>'BALANCE GENERAL'!C20</f>
        <v>1407731.91</v>
      </c>
      <c r="E21" s="261">
        <f>'NOTAS (2)'!D85</f>
        <v>0</v>
      </c>
      <c r="F21" s="272"/>
    </row>
    <row r="22" spans="2:6" x14ac:dyDescent="0.25">
      <c r="B22" s="84"/>
      <c r="C22" s="85" t="s">
        <v>233</v>
      </c>
      <c r="D22" s="217">
        <f>SUM(D18:D21)</f>
        <v>565536700.43999994</v>
      </c>
      <c r="E22" s="84"/>
      <c r="F22" s="89"/>
    </row>
    <row r="23" spans="2:6" ht="11.25" customHeight="1" x14ac:dyDescent="0.25">
      <c r="B23" s="84"/>
      <c r="C23" s="88"/>
      <c r="D23" s="89"/>
      <c r="E23" s="84"/>
      <c r="F23" s="89"/>
    </row>
    <row r="24" spans="2:6" ht="13.5" customHeight="1" x14ac:dyDescent="0.25">
      <c r="B24" s="84"/>
      <c r="C24" s="85" t="s">
        <v>234</v>
      </c>
      <c r="D24" s="86"/>
      <c r="E24" s="84"/>
      <c r="F24" s="272"/>
    </row>
    <row r="25" spans="2:6" x14ac:dyDescent="0.25">
      <c r="B25" s="84"/>
      <c r="C25" s="87" t="s">
        <v>550</v>
      </c>
      <c r="D25" s="86">
        <f>'BALANCE GENERAL'!C24</f>
        <v>56145427.469999999</v>
      </c>
      <c r="E25" s="84"/>
      <c r="F25" s="272"/>
    </row>
    <row r="26" spans="2:6" x14ac:dyDescent="0.25">
      <c r="B26" s="84"/>
      <c r="C26" s="85" t="s">
        <v>236</v>
      </c>
      <c r="D26" s="217">
        <f>SUM(D25)</f>
        <v>56145427.469999999</v>
      </c>
      <c r="E26" s="84"/>
      <c r="F26" s="89"/>
    </row>
    <row r="27" spans="2:6" x14ac:dyDescent="0.25">
      <c r="B27" s="84"/>
      <c r="C27" s="88"/>
      <c r="D27" s="90"/>
      <c r="E27" s="84"/>
      <c r="F27" s="89"/>
    </row>
    <row r="28" spans="2:6" ht="15.75" thickBot="1" x14ac:dyDescent="0.3">
      <c r="B28" s="84"/>
      <c r="C28" s="85" t="s">
        <v>148</v>
      </c>
      <c r="D28" s="91">
        <f>D22+D26</f>
        <v>621682127.90999997</v>
      </c>
      <c r="E28" s="84"/>
      <c r="F28" s="89"/>
    </row>
    <row r="29" spans="2:6" ht="13.5" customHeight="1" thickTop="1" x14ac:dyDescent="0.25">
      <c r="B29" s="84"/>
      <c r="C29" s="88"/>
      <c r="D29" s="89"/>
      <c r="E29" s="84"/>
      <c r="F29" s="89"/>
    </row>
    <row r="30" spans="2:6" x14ac:dyDescent="0.25">
      <c r="B30" s="84"/>
      <c r="C30" s="85" t="s">
        <v>237</v>
      </c>
      <c r="D30" s="86"/>
      <c r="E30" s="84"/>
      <c r="F30" s="272"/>
    </row>
    <row r="31" spans="2:6" x14ac:dyDescent="0.25">
      <c r="B31" s="84"/>
      <c r="C31" s="85" t="s">
        <v>238</v>
      </c>
      <c r="D31" s="86"/>
      <c r="E31" s="84"/>
      <c r="F31" s="272"/>
    </row>
    <row r="32" spans="2:6" x14ac:dyDescent="0.25">
      <c r="B32" s="84"/>
      <c r="C32" s="87" t="s">
        <v>239</v>
      </c>
      <c r="D32" s="86">
        <f>'BALANCE GENERAL'!C31</f>
        <v>77901336.040000007</v>
      </c>
      <c r="E32" s="84"/>
      <c r="F32" s="272"/>
    </row>
    <row r="33" spans="2:6" x14ac:dyDescent="0.25">
      <c r="B33" s="84"/>
      <c r="C33" s="87" t="s">
        <v>551</v>
      </c>
      <c r="D33" s="86">
        <f>'BALANCE GENERAL'!C32</f>
        <v>394280.05</v>
      </c>
      <c r="E33" s="84"/>
      <c r="F33" s="272"/>
    </row>
    <row r="34" spans="2:6" x14ac:dyDescent="0.25">
      <c r="B34" s="84"/>
      <c r="C34" s="85" t="s">
        <v>240</v>
      </c>
      <c r="D34" s="217">
        <f>SUM(D32:D33)</f>
        <v>78295616.090000004</v>
      </c>
      <c r="E34" s="84"/>
      <c r="F34" s="89"/>
    </row>
    <row r="35" spans="2:6" x14ac:dyDescent="0.25">
      <c r="B35" s="84"/>
      <c r="C35" s="88"/>
      <c r="D35" s="90"/>
      <c r="E35" s="84"/>
      <c r="F35" s="89"/>
    </row>
    <row r="36" spans="2:6" ht="15.75" thickBot="1" x14ac:dyDescent="0.3">
      <c r="B36" s="84"/>
      <c r="C36" s="85" t="s">
        <v>241</v>
      </c>
      <c r="D36" s="91">
        <f>D34</f>
        <v>78295616.090000004</v>
      </c>
      <c r="E36" s="84"/>
      <c r="F36" s="89"/>
    </row>
    <row r="37" spans="2:6" ht="11.25" customHeight="1" thickTop="1" x14ac:dyDescent="0.25">
      <c r="B37" s="84"/>
      <c r="C37" s="85"/>
      <c r="D37" s="89"/>
      <c r="E37" s="84"/>
      <c r="F37" s="89"/>
    </row>
    <row r="38" spans="2:6" ht="17.25" customHeight="1" x14ac:dyDescent="0.25">
      <c r="B38" s="84"/>
      <c r="C38" s="93" t="s">
        <v>242</v>
      </c>
      <c r="D38" s="90"/>
      <c r="E38" s="84"/>
      <c r="F38" s="89"/>
    </row>
    <row r="39" spans="2:6" x14ac:dyDescent="0.25">
      <c r="B39" s="84"/>
      <c r="C39" s="87" t="s">
        <v>243</v>
      </c>
      <c r="D39" s="86">
        <f>'BALANCE GENERAL'!C38</f>
        <v>534638142.77999997</v>
      </c>
      <c r="E39" s="84"/>
      <c r="F39" s="272"/>
    </row>
    <row r="40" spans="2:6" ht="23.25" customHeight="1" x14ac:dyDescent="0.25">
      <c r="B40" s="84"/>
      <c r="C40" s="87" t="s">
        <v>244</v>
      </c>
      <c r="D40" s="92">
        <f>'BALANCE GENERAL'!C39</f>
        <v>-19947991.079999998</v>
      </c>
      <c r="E40" s="84"/>
      <c r="F40" s="273"/>
    </row>
    <row r="41" spans="2:6" x14ac:dyDescent="0.25">
      <c r="B41" s="84"/>
      <c r="C41" s="87" t="s">
        <v>245</v>
      </c>
      <c r="D41" s="86">
        <f>'BALANCE GENERAL'!C40</f>
        <v>28696360.120000001</v>
      </c>
      <c r="E41" s="84"/>
      <c r="F41" s="272"/>
    </row>
    <row r="42" spans="2:6" x14ac:dyDescent="0.25">
      <c r="B42" s="84"/>
      <c r="C42" s="87" t="s">
        <v>246</v>
      </c>
      <c r="D42" s="217">
        <f>SUM(D39:D41)</f>
        <v>543386511.81999993</v>
      </c>
      <c r="E42" s="84"/>
      <c r="F42" s="89"/>
    </row>
    <row r="43" spans="2:6" x14ac:dyDescent="0.25">
      <c r="B43" s="84"/>
      <c r="C43" s="88"/>
      <c r="D43" s="90"/>
      <c r="E43" s="84"/>
      <c r="F43" s="89"/>
    </row>
    <row r="44" spans="2:6" ht="15.75" thickBot="1" x14ac:dyDescent="0.3">
      <c r="B44" s="84"/>
      <c r="C44" s="85" t="s">
        <v>247</v>
      </c>
      <c r="D44" s="91">
        <f>+D36+D42</f>
        <v>621682127.90999997</v>
      </c>
      <c r="E44" s="84"/>
      <c r="F44" s="89"/>
    </row>
    <row r="45" spans="2:6" ht="15.75" thickTop="1" x14ac:dyDescent="0.25">
      <c r="B45" s="84"/>
      <c r="C45" s="94"/>
      <c r="D45" s="15"/>
      <c r="E45" s="84"/>
      <c r="F45" s="84"/>
    </row>
    <row r="46" spans="2:6" x14ac:dyDescent="0.25">
      <c r="B46" s="84"/>
      <c r="C46" s="94"/>
      <c r="D46" s="15"/>
      <c r="E46" s="84" t="s">
        <v>235</v>
      </c>
      <c r="F46" s="104" t="s">
        <v>235</v>
      </c>
    </row>
    <row r="47" spans="2:6" x14ac:dyDescent="0.25">
      <c r="B47" s="84"/>
      <c r="C47" s="94"/>
      <c r="D47" s="15" t="s">
        <v>235</v>
      </c>
      <c r="E47" s="84" t="s">
        <v>235</v>
      </c>
      <c r="F47" s="104" t="s">
        <v>235</v>
      </c>
    </row>
    <row r="48" spans="2:6" x14ac:dyDescent="0.25">
      <c r="B48" s="340" t="s">
        <v>235</v>
      </c>
      <c r="C48" s="340"/>
      <c r="D48" s="340"/>
      <c r="E48" s="340"/>
      <c r="F48" s="340"/>
    </row>
    <row r="49" spans="2:6" x14ac:dyDescent="0.25">
      <c r="B49" s="340" t="s">
        <v>235</v>
      </c>
      <c r="C49" s="340"/>
      <c r="D49" s="340"/>
      <c r="E49" s="340"/>
      <c r="F49" s="340"/>
    </row>
    <row r="50" spans="2:6" x14ac:dyDescent="0.25">
      <c r="C50" s="19" t="s">
        <v>235</v>
      </c>
    </row>
    <row r="51" spans="2:6" x14ac:dyDescent="0.25">
      <c r="E51" t="s">
        <v>235</v>
      </c>
      <c r="F51" s="78" t="s">
        <v>235</v>
      </c>
    </row>
    <row r="53" spans="2:6" x14ac:dyDescent="0.25">
      <c r="B53" s="340"/>
      <c r="C53" s="340"/>
      <c r="D53" s="340"/>
      <c r="E53" s="340"/>
      <c r="F53" s="340"/>
    </row>
    <row r="54" spans="2:6" x14ac:dyDescent="0.25">
      <c r="B54" s="340"/>
      <c r="C54" s="340"/>
      <c r="D54" s="340"/>
      <c r="E54" s="340"/>
      <c r="F54" s="340"/>
    </row>
    <row r="55" spans="2:6" x14ac:dyDescent="0.25">
      <c r="C55" s="340"/>
      <c r="D55" s="340"/>
    </row>
    <row r="58" spans="2:6" x14ac:dyDescent="0.25">
      <c r="D58" t="s">
        <v>253</v>
      </c>
    </row>
  </sheetData>
  <mergeCells count="14">
    <mergeCell ref="B13:F13"/>
    <mergeCell ref="B3:F3"/>
    <mergeCell ref="B4:F4"/>
    <mergeCell ref="B10:F10"/>
    <mergeCell ref="B11:F11"/>
    <mergeCell ref="B12:F12"/>
    <mergeCell ref="C55:D55"/>
    <mergeCell ref="B14:F14"/>
    <mergeCell ref="B48:F48"/>
    <mergeCell ref="B49:F49"/>
    <mergeCell ref="B53:C53"/>
    <mergeCell ref="D53:F53"/>
    <mergeCell ref="B54:C54"/>
    <mergeCell ref="D54:F5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J22" sqref="J22"/>
    </sheetView>
  </sheetViews>
  <sheetFormatPr baseColWidth="10" defaultRowHeight="15" x14ac:dyDescent="0.25"/>
  <cols>
    <col min="1" max="1" width="28.5703125" customWidth="1"/>
    <col min="2" max="2" width="12.140625" customWidth="1"/>
    <col min="3" max="3" width="15.140625" customWidth="1"/>
    <col min="4" max="4" width="18.7109375" customWidth="1"/>
    <col min="5" max="5" width="12.5703125" customWidth="1"/>
    <col min="6" max="6" width="17.85546875" bestFit="1" customWidth="1"/>
    <col min="7" max="7" width="15.85546875" customWidth="1"/>
    <col min="8" max="8" width="16.85546875" bestFit="1" customWidth="1"/>
    <col min="9" max="9" width="16.7109375" bestFit="1" customWidth="1"/>
    <col min="11" max="11" width="16.85546875" bestFit="1" customWidth="1"/>
  </cols>
  <sheetData>
    <row r="1" spans="1:9" x14ac:dyDescent="0.25">
      <c r="A1" s="341" t="s">
        <v>187</v>
      </c>
      <c r="B1" s="341"/>
      <c r="C1" s="341"/>
      <c r="D1" s="341"/>
      <c r="E1" s="341"/>
      <c r="F1" s="341"/>
      <c r="G1" s="341"/>
    </row>
    <row r="2" spans="1:9" x14ac:dyDescent="0.25">
      <c r="A2" s="341" t="s">
        <v>188</v>
      </c>
      <c r="B2" s="341"/>
      <c r="C2" s="341"/>
      <c r="D2" s="341"/>
      <c r="E2" s="341"/>
      <c r="F2" s="341"/>
      <c r="G2" s="341"/>
    </row>
    <row r="3" spans="1:9" x14ac:dyDescent="0.25">
      <c r="A3" s="341" t="s">
        <v>189</v>
      </c>
      <c r="B3" s="341"/>
      <c r="C3" s="341"/>
      <c r="D3" s="341"/>
      <c r="E3" s="341"/>
      <c r="F3" s="341"/>
      <c r="G3" s="341"/>
    </row>
    <row r="4" spans="1:9" x14ac:dyDescent="0.25">
      <c r="A4" s="111"/>
      <c r="B4" s="111"/>
      <c r="C4" s="111"/>
      <c r="D4" s="111"/>
      <c r="E4" s="111"/>
      <c r="F4" s="111"/>
      <c r="G4" s="111"/>
    </row>
    <row r="5" spans="1:9" x14ac:dyDescent="0.25">
      <c r="A5" s="111"/>
      <c r="B5" s="111"/>
      <c r="C5" s="111"/>
      <c r="D5" s="111"/>
      <c r="E5" s="111"/>
      <c r="F5" s="150"/>
      <c r="G5" s="111"/>
    </row>
    <row r="6" spans="1:9" x14ac:dyDescent="0.25">
      <c r="A6" s="111"/>
      <c r="B6" s="111"/>
      <c r="C6" s="111"/>
      <c r="D6" s="111"/>
      <c r="E6" s="111"/>
      <c r="F6" s="111"/>
      <c r="G6" s="111"/>
    </row>
    <row r="7" spans="1:9" x14ac:dyDescent="0.25">
      <c r="A7" s="111"/>
      <c r="B7" s="111"/>
      <c r="C7" s="111"/>
      <c r="D7" s="111"/>
      <c r="E7" s="111"/>
      <c r="F7" s="111"/>
      <c r="G7" s="111"/>
    </row>
    <row r="8" spans="1:9" x14ac:dyDescent="0.25">
      <c r="A8" s="343"/>
      <c r="B8" s="343"/>
      <c r="C8" s="343"/>
      <c r="D8" s="343"/>
      <c r="E8" s="343"/>
      <c r="F8" s="343"/>
      <c r="G8" s="343"/>
    </row>
    <row r="9" spans="1:9" x14ac:dyDescent="0.25">
      <c r="A9" s="341" t="s">
        <v>190</v>
      </c>
      <c r="B9" s="341"/>
      <c r="C9" s="341"/>
      <c r="D9" s="341"/>
      <c r="E9" s="341"/>
      <c r="F9" s="341"/>
      <c r="G9" s="341"/>
    </row>
    <row r="10" spans="1:9" x14ac:dyDescent="0.25">
      <c r="A10" s="341" t="s">
        <v>598</v>
      </c>
      <c r="B10" s="341"/>
      <c r="C10" s="341"/>
      <c r="D10" s="341"/>
      <c r="E10" s="341"/>
      <c r="F10" s="341"/>
      <c r="G10" s="341"/>
    </row>
    <row r="11" spans="1:9" x14ac:dyDescent="0.25">
      <c r="A11" s="341" t="s">
        <v>147</v>
      </c>
      <c r="B11" s="341"/>
      <c r="C11" s="341"/>
      <c r="D11" s="341"/>
      <c r="E11" s="341"/>
      <c r="F11" s="341"/>
      <c r="G11" s="341"/>
    </row>
    <row r="12" spans="1:9" x14ac:dyDescent="0.25">
      <c r="A12" s="342"/>
      <c r="B12" s="342"/>
      <c r="C12" s="342"/>
      <c r="D12" s="342"/>
      <c r="E12" s="342"/>
      <c r="F12" s="342"/>
    </row>
    <row r="16" spans="1:9" s="4" customFormat="1" ht="45" x14ac:dyDescent="0.25">
      <c r="C16" s="4" t="s">
        <v>6</v>
      </c>
      <c r="D16" s="4" t="s">
        <v>194</v>
      </c>
      <c r="E16" s="4" t="s">
        <v>195</v>
      </c>
      <c r="F16" s="4" t="s">
        <v>7</v>
      </c>
      <c r="G16" s="4" t="s">
        <v>8</v>
      </c>
      <c r="I16" s="4" t="s">
        <v>235</v>
      </c>
    </row>
    <row r="17" spans="1:13" x14ac:dyDescent="0.25">
      <c r="A17" s="170" t="s">
        <v>558</v>
      </c>
      <c r="C17" s="132">
        <v>534638142.77999997</v>
      </c>
      <c r="D17" s="132"/>
      <c r="E17" s="132"/>
      <c r="F17" s="187">
        <v>76817956.049999997</v>
      </c>
      <c r="G17" s="187">
        <f>+C17+F17</f>
        <v>611456098.82999992</v>
      </c>
      <c r="H17" s="18"/>
      <c r="I17" s="20" t="s">
        <v>235</v>
      </c>
      <c r="K17" s="20" t="s">
        <v>235</v>
      </c>
    </row>
    <row r="18" spans="1:13" x14ac:dyDescent="0.25">
      <c r="A18" t="s">
        <v>191</v>
      </c>
      <c r="C18" s="103"/>
      <c r="D18" s="103"/>
      <c r="E18" s="103"/>
      <c r="F18" s="224">
        <v>4678802.26</v>
      </c>
      <c r="G18" s="224">
        <v>4678802.26</v>
      </c>
      <c r="I18" s="20" t="s">
        <v>235</v>
      </c>
      <c r="K18" s="20"/>
      <c r="L18" s="110" t="s">
        <v>235</v>
      </c>
      <c r="M18" t="s">
        <v>235</v>
      </c>
    </row>
    <row r="19" spans="1:13" x14ac:dyDescent="0.25">
      <c r="A19" t="s">
        <v>192</v>
      </c>
      <c r="C19" s="220"/>
      <c r="D19" s="220"/>
      <c r="E19" s="220"/>
      <c r="F19" s="220">
        <v>-20092083.690000001</v>
      </c>
      <c r="G19" s="220">
        <v>-20092083.690000001</v>
      </c>
      <c r="I19" s="105" t="s">
        <v>235</v>
      </c>
      <c r="K19" s="92"/>
    </row>
    <row r="20" spans="1:13" x14ac:dyDescent="0.25">
      <c r="A20" s="19" t="s">
        <v>557</v>
      </c>
      <c r="C20" s="132">
        <v>534638142.77999997</v>
      </c>
      <c r="D20" s="132"/>
      <c r="E20" s="132"/>
      <c r="F20" s="132">
        <f>SUM(F17:F19)</f>
        <v>61404674.620000005</v>
      </c>
      <c r="G20" s="132">
        <f>SUM(G17:G19)</f>
        <v>596042817.39999986</v>
      </c>
      <c r="I20" s="20" t="s">
        <v>235</v>
      </c>
      <c r="K20" s="104"/>
    </row>
    <row r="21" spans="1:13" x14ac:dyDescent="0.25">
      <c r="A21" t="s">
        <v>193</v>
      </c>
      <c r="C21" s="20"/>
      <c r="D21" s="20"/>
      <c r="E21" s="20"/>
      <c r="F21" s="20">
        <v>0</v>
      </c>
      <c r="G21" s="20">
        <f>SUM(C21:F21)</f>
        <v>0</v>
      </c>
      <c r="I21" s="105" t="s">
        <v>235</v>
      </c>
      <c r="K21" s="79"/>
    </row>
    <row r="22" spans="1:13" x14ac:dyDescent="0.25">
      <c r="A22" t="s">
        <v>191</v>
      </c>
      <c r="C22" s="20"/>
      <c r="D22" s="20"/>
      <c r="E22" s="20"/>
      <c r="F22" s="69">
        <v>-32708314.5</v>
      </c>
      <c r="G22" s="20">
        <f>SUM(C22:F22)</f>
        <v>-32708314.5</v>
      </c>
      <c r="H22" s="15"/>
      <c r="I22" s="18" t="s">
        <v>235</v>
      </c>
      <c r="K22" s="104"/>
    </row>
    <row r="23" spans="1:13" x14ac:dyDescent="0.25">
      <c r="A23" t="s">
        <v>192</v>
      </c>
      <c r="C23" s="20"/>
      <c r="D23" s="20"/>
      <c r="E23" s="20"/>
      <c r="F23" s="20">
        <f>'ESTADO DE REND.'!C31</f>
        <v>-19947991.079999998</v>
      </c>
      <c r="G23" s="20">
        <f>SUM(C23:F23)</f>
        <v>-19947991.079999998</v>
      </c>
      <c r="I23" s="18" t="s">
        <v>235</v>
      </c>
      <c r="K23" s="79"/>
    </row>
    <row r="24" spans="1:13" ht="15.75" thickBot="1" x14ac:dyDescent="0.3">
      <c r="A24" s="19" t="s">
        <v>593</v>
      </c>
      <c r="C24" s="67">
        <f>SUM(C20:C23)</f>
        <v>534638142.77999997</v>
      </c>
      <c r="D24" s="67"/>
      <c r="E24" s="67"/>
      <c r="F24" s="67">
        <f>SUM(F20:F23)</f>
        <v>8748369.0400000066</v>
      </c>
      <c r="G24" s="67">
        <f>SUM(G20:G23)</f>
        <v>543386511.81999981</v>
      </c>
      <c r="I24" s="18" t="s">
        <v>235</v>
      </c>
      <c r="K24" s="104" t="s">
        <v>235</v>
      </c>
    </row>
    <row r="25" spans="1:13" ht="15.75" thickTop="1" x14ac:dyDescent="0.25">
      <c r="C25" s="20"/>
      <c r="D25" s="20"/>
      <c r="E25" s="20"/>
      <c r="F25" s="20"/>
      <c r="G25" s="20"/>
      <c r="I25" s="18" t="s">
        <v>235</v>
      </c>
      <c r="K25" t="s">
        <v>235</v>
      </c>
    </row>
    <row r="26" spans="1:13" x14ac:dyDescent="0.25">
      <c r="C26" s="20" t="s">
        <v>235</v>
      </c>
      <c r="D26" s="20" t="s">
        <v>235</v>
      </c>
      <c r="E26" s="20" t="s">
        <v>235</v>
      </c>
      <c r="F26" s="20" t="s">
        <v>235</v>
      </c>
      <c r="G26" s="20" t="s">
        <v>235</v>
      </c>
      <c r="H26" s="103" t="s">
        <v>235</v>
      </c>
      <c r="I26" s="105" t="s">
        <v>235</v>
      </c>
      <c r="K26" s="105" t="s">
        <v>235</v>
      </c>
    </row>
    <row r="27" spans="1:13" x14ac:dyDescent="0.25">
      <c r="C27" s="20"/>
      <c r="D27" s="20"/>
      <c r="E27" s="20"/>
      <c r="F27" s="20"/>
      <c r="G27" s="20" t="s">
        <v>235</v>
      </c>
      <c r="H27" s="103" t="s">
        <v>235</v>
      </c>
      <c r="I27" t="s">
        <v>235</v>
      </c>
      <c r="L27" t="s">
        <v>235</v>
      </c>
    </row>
    <row r="28" spans="1:13" x14ac:dyDescent="0.25">
      <c r="C28" s="20"/>
      <c r="D28" s="20"/>
      <c r="E28" s="20"/>
      <c r="F28" s="20"/>
      <c r="G28" s="20" t="s">
        <v>235</v>
      </c>
      <c r="H28" s="20" t="s">
        <v>235</v>
      </c>
      <c r="I28" t="s">
        <v>235</v>
      </c>
      <c r="L28" t="s">
        <v>235</v>
      </c>
    </row>
    <row r="29" spans="1:13" x14ac:dyDescent="0.25">
      <c r="C29" s="20"/>
      <c r="D29" s="20"/>
      <c r="E29" s="20"/>
      <c r="F29" s="20"/>
      <c r="G29" s="20" t="s">
        <v>235</v>
      </c>
      <c r="H29" s="105" t="s">
        <v>235</v>
      </c>
      <c r="I29" t="s">
        <v>235</v>
      </c>
    </row>
    <row r="30" spans="1:13" x14ac:dyDescent="0.25">
      <c r="C30" s="20"/>
      <c r="D30" s="20"/>
      <c r="E30" s="20"/>
      <c r="F30" s="20"/>
      <c r="G30" s="20" t="s">
        <v>235</v>
      </c>
      <c r="H30" s="20" t="s">
        <v>235</v>
      </c>
      <c r="I30" s="105" t="s">
        <v>235</v>
      </c>
    </row>
    <row r="31" spans="1:13" x14ac:dyDescent="0.25">
      <c r="C31" s="20"/>
      <c r="D31" s="20"/>
      <c r="E31" s="20"/>
      <c r="F31" s="20" t="s">
        <v>235</v>
      </c>
      <c r="G31" s="20" t="s">
        <v>235</v>
      </c>
      <c r="H31" s="20" t="s">
        <v>235</v>
      </c>
      <c r="I31" t="s">
        <v>235</v>
      </c>
    </row>
    <row r="32" spans="1:13" x14ac:dyDescent="0.25">
      <c r="F32" s="20" t="s">
        <v>235</v>
      </c>
      <c r="G32" s="105" t="s">
        <v>235</v>
      </c>
      <c r="H32" s="20" t="s">
        <v>235</v>
      </c>
      <c r="I32" t="s">
        <v>235</v>
      </c>
    </row>
    <row r="33" spans="1:9" x14ac:dyDescent="0.25">
      <c r="A33" s="340" t="s">
        <v>235</v>
      </c>
      <c r="B33" s="340"/>
      <c r="C33" s="340"/>
      <c r="D33" s="340"/>
      <c r="E33" s="340"/>
      <c r="F33" s="340"/>
      <c r="G33" s="340"/>
      <c r="H33" s="20" t="s">
        <v>235</v>
      </c>
      <c r="I33" t="s">
        <v>235</v>
      </c>
    </row>
    <row r="34" spans="1:9" x14ac:dyDescent="0.25">
      <c r="A34" s="340" t="s">
        <v>235</v>
      </c>
      <c r="B34" s="340"/>
      <c r="C34" s="340"/>
      <c r="D34" s="340"/>
      <c r="E34" s="340"/>
      <c r="F34" s="340"/>
      <c r="G34" s="340"/>
      <c r="H34" s="20" t="s">
        <v>235</v>
      </c>
      <c r="I34" t="s">
        <v>235</v>
      </c>
    </row>
    <row r="35" spans="1:9" x14ac:dyDescent="0.25">
      <c r="H35" s="105" t="s">
        <v>235</v>
      </c>
      <c r="I35" t="s">
        <v>235</v>
      </c>
    </row>
    <row r="36" spans="1:9" x14ac:dyDescent="0.25">
      <c r="H36" t="s">
        <v>235</v>
      </c>
    </row>
    <row r="37" spans="1:9" x14ac:dyDescent="0.25">
      <c r="G37" s="18" t="s">
        <v>335</v>
      </c>
      <c r="H37" s="20" t="s">
        <v>235</v>
      </c>
    </row>
    <row r="38" spans="1:9" x14ac:dyDescent="0.25">
      <c r="A38" s="340" t="s">
        <v>520</v>
      </c>
      <c r="B38" s="340"/>
      <c r="C38" s="340"/>
      <c r="D38" s="340" t="s">
        <v>647</v>
      </c>
      <c r="E38" s="340"/>
      <c r="F38" s="340"/>
      <c r="G38" s="340"/>
    </row>
    <row r="39" spans="1:9" x14ac:dyDescent="0.25">
      <c r="A39" s="340" t="s">
        <v>185</v>
      </c>
      <c r="B39" s="340"/>
      <c r="C39" s="340"/>
      <c r="D39" s="340" t="s">
        <v>649</v>
      </c>
      <c r="E39" s="340"/>
      <c r="F39" s="340"/>
      <c r="G39" s="340"/>
    </row>
    <row r="40" spans="1:9" x14ac:dyDescent="0.25">
      <c r="G40" t="s">
        <v>235</v>
      </c>
    </row>
    <row r="42" spans="1:9" x14ac:dyDescent="0.25">
      <c r="A42" s="341"/>
      <c r="B42" s="341"/>
      <c r="C42" s="341"/>
      <c r="D42" s="341"/>
      <c r="E42" s="341"/>
      <c r="F42" s="341"/>
      <c r="G42" s="341"/>
    </row>
    <row r="43" spans="1:9" x14ac:dyDescent="0.25">
      <c r="A43" s="341"/>
      <c r="B43" s="341"/>
      <c r="C43" s="341"/>
      <c r="D43" s="341"/>
      <c r="E43" s="341"/>
      <c r="F43" s="341"/>
      <c r="G43" s="341"/>
    </row>
    <row r="44" spans="1:9" x14ac:dyDescent="0.25">
      <c r="A44" s="341"/>
      <c r="B44" s="341"/>
      <c r="C44" s="341"/>
      <c r="D44" s="341"/>
      <c r="E44" s="341"/>
      <c r="F44" s="341"/>
      <c r="G44" s="341"/>
    </row>
    <row r="45" spans="1:9" x14ac:dyDescent="0.25">
      <c r="A45" s="233"/>
      <c r="B45" s="233"/>
      <c r="C45" s="233"/>
      <c r="D45" s="233"/>
      <c r="E45" s="233"/>
      <c r="F45" s="233"/>
      <c r="G45" s="233"/>
    </row>
    <row r="46" spans="1:9" x14ac:dyDescent="0.25">
      <c r="A46" s="233"/>
      <c r="B46" s="233"/>
      <c r="C46" s="233"/>
      <c r="D46" s="233"/>
      <c r="E46" s="233"/>
      <c r="F46" s="233"/>
      <c r="G46" s="233"/>
    </row>
    <row r="47" spans="1:9" x14ac:dyDescent="0.25">
      <c r="A47" s="233"/>
      <c r="B47" s="233"/>
      <c r="C47" s="233"/>
      <c r="D47" s="233"/>
      <c r="E47" s="233"/>
      <c r="F47" s="233"/>
      <c r="G47" s="233"/>
    </row>
    <row r="48" spans="1:9" x14ac:dyDescent="0.25">
      <c r="A48" s="233"/>
      <c r="B48" s="233"/>
      <c r="C48" s="233"/>
      <c r="D48" s="233"/>
      <c r="E48" s="233"/>
      <c r="F48" s="233"/>
      <c r="G48" s="233"/>
    </row>
    <row r="49" spans="1:9" x14ac:dyDescent="0.25">
      <c r="A49" s="343"/>
      <c r="B49" s="343"/>
      <c r="C49" s="343"/>
      <c r="D49" s="343"/>
      <c r="E49" s="343"/>
      <c r="F49" s="343"/>
      <c r="G49" s="343"/>
    </row>
    <row r="50" spans="1:9" x14ac:dyDescent="0.25">
      <c r="A50" s="341"/>
      <c r="B50" s="341"/>
      <c r="C50" s="341"/>
      <c r="D50" s="341"/>
      <c r="E50" s="341"/>
      <c r="F50" s="341"/>
      <c r="G50" s="341"/>
    </row>
    <row r="51" spans="1:9" x14ac:dyDescent="0.25">
      <c r="A51" s="341"/>
      <c r="B51" s="341"/>
      <c r="C51" s="341"/>
      <c r="D51" s="341"/>
      <c r="E51" s="341"/>
      <c r="F51" s="341"/>
      <c r="G51" s="341"/>
    </row>
    <row r="52" spans="1:9" x14ac:dyDescent="0.25">
      <c r="A52" s="341"/>
      <c r="B52" s="341"/>
      <c r="C52" s="341"/>
      <c r="D52" s="341"/>
      <c r="E52" s="341"/>
      <c r="F52" s="341"/>
      <c r="G52" s="341"/>
    </row>
    <row r="53" spans="1:9" x14ac:dyDescent="0.25">
      <c r="I53" s="171"/>
    </row>
    <row r="54" spans="1:9" x14ac:dyDescent="0.25">
      <c r="A54" s="4"/>
      <c r="B54" s="4"/>
      <c r="C54" s="4"/>
      <c r="D54" s="4"/>
      <c r="E54" s="4"/>
      <c r="F54" s="4"/>
      <c r="G54" s="4"/>
    </row>
    <row r="55" spans="1:9" x14ac:dyDescent="0.25">
      <c r="A55" s="170"/>
      <c r="B55" s="171"/>
      <c r="C55" s="186"/>
      <c r="D55" s="186"/>
      <c r="E55" s="186"/>
      <c r="F55" s="186"/>
      <c r="G55" s="186"/>
      <c r="H55" s="171"/>
    </row>
    <row r="56" spans="1:9" x14ac:dyDescent="0.25">
      <c r="C56" s="20"/>
      <c r="D56" s="20"/>
      <c r="E56" s="20"/>
      <c r="F56" s="20"/>
      <c r="G56" s="20"/>
    </row>
    <row r="57" spans="1:9" x14ac:dyDescent="0.25">
      <c r="C57" s="20"/>
      <c r="D57" s="20"/>
      <c r="E57" s="20"/>
      <c r="F57" s="20"/>
      <c r="G57" s="20"/>
    </row>
    <row r="58" spans="1:9" x14ac:dyDescent="0.25">
      <c r="A58" s="228"/>
      <c r="C58" s="132"/>
      <c r="D58" s="132"/>
      <c r="E58" s="132"/>
      <c r="F58" s="132"/>
      <c r="G58" s="132"/>
    </row>
    <row r="59" spans="1:9" x14ac:dyDescent="0.25">
      <c r="A59" s="199"/>
      <c r="C59" s="132"/>
      <c r="D59" s="132"/>
      <c r="E59" s="132"/>
      <c r="F59" s="132"/>
      <c r="G59" s="132"/>
    </row>
    <row r="60" spans="1:9" x14ac:dyDescent="0.25">
      <c r="A60" s="170"/>
      <c r="C60" s="132"/>
      <c r="D60" s="132"/>
      <c r="E60" s="132"/>
      <c r="F60" s="187"/>
      <c r="G60" s="187"/>
    </row>
    <row r="61" spans="1:9" x14ac:dyDescent="0.25">
      <c r="C61" s="103"/>
      <c r="D61" s="103"/>
      <c r="E61" s="103"/>
      <c r="F61" s="224"/>
      <c r="G61" s="224"/>
      <c r="H61" s="20" t="s">
        <v>235</v>
      </c>
    </row>
    <row r="62" spans="1:9" x14ac:dyDescent="0.25">
      <c r="C62" s="103"/>
      <c r="D62" s="103"/>
      <c r="E62" s="103"/>
      <c r="F62" s="103"/>
      <c r="G62" s="103"/>
      <c r="I62" s="70"/>
    </row>
    <row r="63" spans="1:9" x14ac:dyDescent="0.25">
      <c r="A63" s="19"/>
      <c r="C63" s="132"/>
      <c r="D63" s="132"/>
      <c r="E63" s="132"/>
      <c r="F63" s="132"/>
      <c r="G63" s="132"/>
    </row>
    <row r="65" spans="1:8" x14ac:dyDescent="0.25">
      <c r="H65" s="20"/>
    </row>
    <row r="66" spans="1:8" x14ac:dyDescent="0.25">
      <c r="F66" s="20"/>
    </row>
    <row r="67" spans="1:8" x14ac:dyDescent="0.25">
      <c r="H67" s="227"/>
    </row>
    <row r="68" spans="1:8" x14ac:dyDescent="0.25">
      <c r="H68" s="187"/>
    </row>
    <row r="69" spans="1:8" x14ac:dyDescent="0.25">
      <c r="G69" s="18"/>
      <c r="H69" s="18"/>
    </row>
    <row r="70" spans="1:8" x14ac:dyDescent="0.25">
      <c r="A70" s="340"/>
      <c r="B70" s="340"/>
      <c r="C70" s="340"/>
      <c r="D70" s="340"/>
      <c r="E70" s="340"/>
      <c r="F70" s="340"/>
      <c r="G70" s="340"/>
    </row>
    <row r="71" spans="1:8" x14ac:dyDescent="0.25">
      <c r="A71" s="340"/>
      <c r="B71" s="340"/>
      <c r="C71" s="340"/>
      <c r="D71" s="340"/>
      <c r="E71" s="340"/>
      <c r="F71" s="340"/>
      <c r="G71" s="340"/>
    </row>
  </sheetData>
  <mergeCells count="25">
    <mergeCell ref="A51:G51"/>
    <mergeCell ref="A52:G52"/>
    <mergeCell ref="A70:C70"/>
    <mergeCell ref="D70:G70"/>
    <mergeCell ref="A71:C71"/>
    <mergeCell ref="D71:G71"/>
    <mergeCell ref="A42:G42"/>
    <mergeCell ref="A43:G43"/>
    <mergeCell ref="A44:G44"/>
    <mergeCell ref="A49:G49"/>
    <mergeCell ref="A50:G50"/>
    <mergeCell ref="A38:C38"/>
    <mergeCell ref="A39:C39"/>
    <mergeCell ref="A33:G33"/>
    <mergeCell ref="A34:G34"/>
    <mergeCell ref="D38:G38"/>
    <mergeCell ref="D39:G39"/>
    <mergeCell ref="A12:F12"/>
    <mergeCell ref="A1:G1"/>
    <mergeCell ref="A2:G2"/>
    <mergeCell ref="A3:G3"/>
    <mergeCell ref="A8:G8"/>
    <mergeCell ref="A9:G9"/>
    <mergeCell ref="A10:G10"/>
    <mergeCell ref="A11:G11"/>
  </mergeCells>
  <pageMargins left="0.7" right="0.7" top="0.75" bottom="0.75" header="0.3" footer="0.3"/>
  <pageSetup scale="7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topLeftCell="A28" workbookViewId="0">
      <selection activeCell="B13" sqref="B1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341" t="s">
        <v>187</v>
      </c>
      <c r="C1" s="341"/>
      <c r="D1" s="341"/>
      <c r="E1" s="341"/>
    </row>
    <row r="2" spans="2:7" x14ac:dyDescent="0.25">
      <c r="B2" s="341" t="s">
        <v>188</v>
      </c>
      <c r="C2" s="341"/>
      <c r="D2" s="341"/>
      <c r="E2" s="341"/>
    </row>
    <row r="3" spans="2:7" x14ac:dyDescent="0.25">
      <c r="B3" s="341" t="s">
        <v>189</v>
      </c>
      <c r="C3" s="341"/>
      <c r="D3" s="341"/>
      <c r="E3" s="341"/>
    </row>
    <row r="4" spans="2:7" x14ac:dyDescent="0.25">
      <c r="B4" s="111"/>
      <c r="C4" s="111"/>
      <c r="D4" s="111"/>
      <c r="E4" s="111"/>
    </row>
    <row r="5" spans="2:7" x14ac:dyDescent="0.25">
      <c r="B5" s="111"/>
      <c r="C5" s="111"/>
      <c r="D5" s="111"/>
      <c r="E5" s="111"/>
    </row>
    <row r="6" spans="2:7" x14ac:dyDescent="0.25">
      <c r="B6" s="111"/>
      <c r="C6" s="111"/>
      <c r="D6" s="111"/>
      <c r="E6" s="111"/>
    </row>
    <row r="7" spans="2:7" x14ac:dyDescent="0.25">
      <c r="B7" s="111"/>
      <c r="C7" s="111"/>
      <c r="D7" s="111"/>
      <c r="E7" s="111"/>
    </row>
    <row r="8" spans="2:7" x14ac:dyDescent="0.25">
      <c r="B8" s="343"/>
      <c r="C8" s="343"/>
      <c r="D8" s="343"/>
      <c r="E8" s="343"/>
    </row>
    <row r="9" spans="2:7" x14ac:dyDescent="0.25">
      <c r="B9" s="341" t="s">
        <v>0</v>
      </c>
      <c r="C9" s="341"/>
      <c r="D9" s="341"/>
      <c r="E9" s="341"/>
    </row>
    <row r="10" spans="2:7" x14ac:dyDescent="0.25">
      <c r="B10" s="341" t="s">
        <v>598</v>
      </c>
      <c r="C10" s="341"/>
      <c r="D10" s="341"/>
      <c r="E10" s="341"/>
    </row>
    <row r="11" spans="2:7" x14ac:dyDescent="0.25">
      <c r="B11" s="341" t="s">
        <v>147</v>
      </c>
      <c r="C11" s="341"/>
      <c r="D11" s="341"/>
      <c r="E11" s="341"/>
    </row>
    <row r="12" spans="2:7" x14ac:dyDescent="0.25">
      <c r="B12" s="342"/>
      <c r="C12" s="342"/>
      <c r="D12" s="342"/>
      <c r="E12" s="342"/>
    </row>
    <row r="13" spans="2:7" x14ac:dyDescent="0.25">
      <c r="B13" s="65"/>
      <c r="C13" s="65"/>
      <c r="D13" s="65"/>
      <c r="E13" s="65"/>
    </row>
    <row r="14" spans="2:7" x14ac:dyDescent="0.25">
      <c r="B14" s="344"/>
      <c r="C14" s="344"/>
      <c r="D14" s="344"/>
      <c r="E14" s="344"/>
    </row>
    <row r="15" spans="2:7" x14ac:dyDescent="0.25">
      <c r="B15" s="17"/>
      <c r="C15" s="17">
        <v>2021</v>
      </c>
      <c r="D15" s="17" t="s">
        <v>235</v>
      </c>
      <c r="E15" s="66">
        <v>2020</v>
      </c>
      <c r="G15" s="78" t="s">
        <v>235</v>
      </c>
    </row>
    <row r="16" spans="2:7" x14ac:dyDescent="0.25">
      <c r="B16" s="13" t="s">
        <v>149</v>
      </c>
      <c r="C16" t="s">
        <v>235</v>
      </c>
      <c r="G16" s="18" t="s">
        <v>235</v>
      </c>
    </row>
    <row r="17" spans="2:7" x14ac:dyDescent="0.25">
      <c r="B17" s="14" t="s">
        <v>150</v>
      </c>
      <c r="C17" s="70">
        <f>+'NOTAS (2)'!C141</f>
        <v>56567048.43</v>
      </c>
      <c r="E17" s="18">
        <f>'NOTAS (2)'!E141</f>
        <v>15684318.800000001</v>
      </c>
      <c r="G17" s="105" t="s">
        <v>235</v>
      </c>
    </row>
    <row r="18" spans="2:7" x14ac:dyDescent="0.25">
      <c r="B18" s="14" t="s">
        <v>151</v>
      </c>
      <c r="C18" s="18">
        <f>+'NOTAS (2)'!C148</f>
        <v>21319779.120000001</v>
      </c>
      <c r="E18" s="18">
        <f>'[3]NOTAS (2)'!$N$142</f>
        <v>17235106.379999999</v>
      </c>
      <c r="G18" s="105" t="s">
        <v>235</v>
      </c>
    </row>
    <row r="19" spans="2:7" s="19" customFormat="1" x14ac:dyDescent="0.25">
      <c r="B19" s="13" t="s">
        <v>152</v>
      </c>
      <c r="C19" s="128">
        <f>SUM(C17:C18)</f>
        <v>77886827.549999997</v>
      </c>
      <c r="E19" s="128">
        <f>SUM(E17:E18)</f>
        <v>32919425.18</v>
      </c>
      <c r="G19" s="109" t="s">
        <v>235</v>
      </c>
    </row>
    <row r="20" spans="2:7" x14ac:dyDescent="0.25">
      <c r="G20" t="s">
        <v>235</v>
      </c>
    </row>
    <row r="21" spans="2:7" x14ac:dyDescent="0.25">
      <c r="F21" t="s">
        <v>235</v>
      </c>
    </row>
    <row r="22" spans="2:7" x14ac:dyDescent="0.25">
      <c r="F22" t="s">
        <v>235</v>
      </c>
    </row>
    <row r="23" spans="2:7" x14ac:dyDescent="0.25">
      <c r="B23" s="19" t="s">
        <v>153</v>
      </c>
      <c r="E23" t="s">
        <v>235</v>
      </c>
      <c r="F23" s="20" t="s">
        <v>235</v>
      </c>
    </row>
    <row r="24" spans="2:7" x14ac:dyDescent="0.25">
      <c r="B24" t="s">
        <v>154</v>
      </c>
      <c r="C24" s="20">
        <f>'NOTAS (2)'!C160</f>
        <v>42540263.280000001</v>
      </c>
      <c r="E24" s="20">
        <f>'NOTAS (2)'!E160</f>
        <v>21311042.699999999</v>
      </c>
      <c r="F24" t="s">
        <v>235</v>
      </c>
    </row>
    <row r="25" spans="2:7" x14ac:dyDescent="0.25">
      <c r="B25" t="s">
        <v>155</v>
      </c>
      <c r="C25" s="20">
        <f>+'NOTAS (2)'!C204</f>
        <v>0</v>
      </c>
      <c r="E25" s="20">
        <v>0</v>
      </c>
      <c r="F25" t="s">
        <v>235</v>
      </c>
    </row>
    <row r="26" spans="2:7" x14ac:dyDescent="0.25">
      <c r="B26" t="s">
        <v>156</v>
      </c>
      <c r="C26" s="20">
        <f>+'NOTAS (2)'!C221</f>
        <v>48404161.569999993</v>
      </c>
      <c r="E26" s="20">
        <f>'NOTAS (2)'!E221</f>
        <v>13727364.030000001</v>
      </c>
      <c r="F26" s="20" t="s">
        <v>235</v>
      </c>
    </row>
    <row r="27" spans="2:7" x14ac:dyDescent="0.25">
      <c r="B27" s="77" t="s">
        <v>157</v>
      </c>
      <c r="C27" s="20">
        <f>'NOTAS (2)'!M232</f>
        <v>1355784.33</v>
      </c>
      <c r="E27" s="20">
        <f>'[3]NOTAS (2)'!$N$226</f>
        <v>14837557.657721698</v>
      </c>
      <c r="F27" s="20" t="s">
        <v>235</v>
      </c>
      <c r="G27" s="20"/>
    </row>
    <row r="28" spans="2:7" x14ac:dyDescent="0.25">
      <c r="B28" t="s">
        <v>158</v>
      </c>
      <c r="C28" s="20">
        <f>'NOTAS (2)'!C247</f>
        <v>5534609.4500000002</v>
      </c>
      <c r="E28" s="20">
        <f>'NOTAS (2)'!E247</f>
        <v>1135124.1299999999</v>
      </c>
      <c r="F28" s="20" t="s">
        <v>235</v>
      </c>
    </row>
    <row r="29" spans="2:7" s="19" customFormat="1" x14ac:dyDescent="0.25">
      <c r="B29" s="19" t="s">
        <v>159</v>
      </c>
      <c r="C29" s="120">
        <f>SUM(C24:C28)</f>
        <v>97834818.629999995</v>
      </c>
      <c r="E29" s="120">
        <f>SUM(E24:E28)</f>
        <v>51011088.517721705</v>
      </c>
      <c r="F29" s="74" t="s">
        <v>235</v>
      </c>
    </row>
    <row r="30" spans="2:7" x14ac:dyDescent="0.25">
      <c r="F30" s="105" t="s">
        <v>235</v>
      </c>
    </row>
    <row r="31" spans="2:7" s="19" customFormat="1" ht="15.75" thickBot="1" x14ac:dyDescent="0.3">
      <c r="B31" s="19" t="s">
        <v>160</v>
      </c>
      <c r="C31" s="291">
        <f>+C19-C29</f>
        <v>-19947991.079999998</v>
      </c>
      <c r="E31" s="21">
        <f>+E19-E29</f>
        <v>-18091663.337721705</v>
      </c>
    </row>
    <row r="32" spans="2:7" ht="15.75" thickTop="1" x14ac:dyDescent="0.25"/>
    <row r="37" spans="2:5" x14ac:dyDescent="0.25">
      <c r="B37" s="340" t="s">
        <v>235</v>
      </c>
      <c r="C37" s="340"/>
      <c r="D37" s="340"/>
      <c r="E37" s="340"/>
    </row>
    <row r="38" spans="2:5" x14ac:dyDescent="0.25">
      <c r="B38" s="340" t="s">
        <v>235</v>
      </c>
      <c r="C38" s="340"/>
      <c r="D38" s="340"/>
      <c r="E38" s="340"/>
    </row>
    <row r="41" spans="2:5" x14ac:dyDescent="0.25">
      <c r="B41" s="197"/>
      <c r="C41" s="340"/>
      <c r="D41" s="340"/>
      <c r="E41" s="340"/>
    </row>
    <row r="42" spans="2:5" x14ac:dyDescent="0.25">
      <c r="B42" s="197"/>
      <c r="C42" s="340"/>
      <c r="D42" s="340"/>
      <c r="E42" s="340"/>
    </row>
    <row r="43" spans="2:5" x14ac:dyDescent="0.25">
      <c r="B43" t="s">
        <v>519</v>
      </c>
      <c r="C43" s="340" t="s">
        <v>599</v>
      </c>
      <c r="D43" s="340"/>
      <c r="E43" s="340"/>
    </row>
    <row r="44" spans="2:5" x14ac:dyDescent="0.25">
      <c r="B44" t="s">
        <v>185</v>
      </c>
      <c r="C44" s="340" t="s">
        <v>600</v>
      </c>
      <c r="D44" s="340"/>
      <c r="E44" s="340"/>
    </row>
    <row r="47" spans="2:5" x14ac:dyDescent="0.25">
      <c r="B47" t="s">
        <v>186</v>
      </c>
    </row>
  </sheetData>
  <mergeCells count="15">
    <mergeCell ref="C43:E43"/>
    <mergeCell ref="C44:E44"/>
    <mergeCell ref="C41:E41"/>
    <mergeCell ref="C42:E42"/>
    <mergeCell ref="B1:E1"/>
    <mergeCell ref="B8:E8"/>
    <mergeCell ref="B9:E9"/>
    <mergeCell ref="B10:E10"/>
    <mergeCell ref="B11:E11"/>
    <mergeCell ref="B12:E12"/>
    <mergeCell ref="B14:E14"/>
    <mergeCell ref="B3:E3"/>
    <mergeCell ref="B2:E2"/>
    <mergeCell ref="B37:E37"/>
    <mergeCell ref="B38:E38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Notas E. F=1-6</vt:lpstr>
      <vt:lpstr>Nota PPE</vt:lpstr>
      <vt:lpstr>NOTAS ojo 7-21</vt:lpstr>
      <vt:lpstr>NOTAS (2)</vt:lpstr>
      <vt:lpstr>CTAS&gt; POR PAGAR</vt:lpstr>
      <vt:lpstr>BALANCE GENERAL</vt:lpstr>
      <vt:lpstr>Hoja1</vt:lpstr>
      <vt:lpstr>EST. CAMBIO</vt:lpstr>
      <vt:lpstr>ESTADO DE REND.</vt:lpstr>
      <vt:lpstr>EST. FLUJO</vt:lpstr>
      <vt:lpstr>EST. COMP.</vt:lpstr>
      <vt:lpstr>'EST. CAMBIO'!Área_de_impresión</vt:lpstr>
      <vt:lpstr>'Notas E. F=1-6'!Área_de_impresión</vt:lpstr>
      <vt:lpstr>'NOTAS ojo 7-21'!Área_de_impresión</vt:lpstr>
      <vt:lpstr>'BALANCE GENERAL'!Títulos_a_imprimir</vt:lpstr>
      <vt:lpstr>'NOTAS (2)'!Títulos_a_imprimir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2021-12-29T17:41:39Z</cp:lastPrinted>
  <dcterms:created xsi:type="dcterms:W3CDTF">2018-05-02T13:48:18Z</dcterms:created>
  <dcterms:modified xsi:type="dcterms:W3CDTF">2021-12-29T18:48:32Z</dcterms:modified>
</cp:coreProperties>
</file>