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03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70C02309-36D4-4482-BAF3-13CF2F30D7C8}" xr6:coauthVersionLast="47" xr6:coauthVersionMax="47" xr10:uidLastSave="{00000000-0000-0000-0000-000000000000}"/>
  <bookViews>
    <workbookView xWindow="0" yWindow="0" windowWidth="20055" windowHeight="5535" xr2:uid="{00000000-000D-0000-FFFF-FFFF00000000}"/>
  </bookViews>
  <sheets>
    <sheet name="EJECUCION SEP-2022" sheetId="19" r:id="rId1"/>
  </sheets>
  <definedNames>
    <definedName name="_xlnm.Print_Area" localSheetId="0">'EJECUCION SEP-2022'!$A$1:$P$113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9" l="1"/>
  <c r="L17" i="19"/>
  <c r="L13" i="19"/>
  <c r="C13" i="19" l="1"/>
  <c r="L59" i="19"/>
  <c r="L55" i="19"/>
  <c r="L37" i="19"/>
  <c r="L35" i="19"/>
  <c r="L34" i="19"/>
  <c r="L33" i="19"/>
  <c r="L31" i="19"/>
  <c r="L26" i="19"/>
  <c r="L25" i="19"/>
  <c r="K13" i="19" l="1"/>
  <c r="K17" i="19" l="1"/>
  <c r="K14" i="19"/>
  <c r="C18" i="19" l="1"/>
  <c r="C54" i="19" l="1"/>
  <c r="C76" i="19" s="1"/>
  <c r="C88" i="19" s="1"/>
  <c r="P16" i="19" l="1"/>
  <c r="P15" i="19"/>
  <c r="P24" i="19"/>
  <c r="P21" i="19"/>
  <c r="P20" i="19"/>
  <c r="P36" i="19"/>
  <c r="P30" i="19"/>
  <c r="P53" i="19"/>
  <c r="P52" i="19"/>
  <c r="P51" i="19"/>
  <c r="P50" i="19"/>
  <c r="P49" i="19"/>
  <c r="P48" i="19"/>
  <c r="P47" i="19"/>
  <c r="P63" i="19"/>
  <c r="P62" i="19"/>
  <c r="P61" i="19"/>
  <c r="P60" i="19"/>
  <c r="P59" i="19"/>
  <c r="P58" i="19"/>
  <c r="P57" i="19"/>
  <c r="P56" i="19"/>
  <c r="P55" i="19"/>
  <c r="P85" i="19"/>
  <c r="P84" i="19"/>
  <c r="P83" i="19"/>
  <c r="P82" i="19"/>
  <c r="P81" i="19"/>
  <c r="P80" i="19"/>
  <c r="P79" i="19"/>
  <c r="P78" i="19"/>
  <c r="P77" i="19"/>
  <c r="C11" i="19"/>
  <c r="B54" i="19"/>
  <c r="B46" i="19"/>
  <c r="B38" i="19"/>
  <c r="B28" i="19"/>
  <c r="B18" i="19"/>
  <c r="B12" i="19"/>
  <c r="P46" i="19" l="1"/>
  <c r="P54" i="19"/>
  <c r="P69" i="19"/>
  <c r="P72" i="19"/>
  <c r="D86" i="19"/>
  <c r="P86" i="19" s="1"/>
  <c r="G37" i="19" l="1"/>
  <c r="G35" i="19"/>
  <c r="G34" i="19"/>
  <c r="P34" i="19" s="1"/>
  <c r="G31" i="19"/>
  <c r="P31" i="19" s="1"/>
  <c r="G25" i="19"/>
  <c r="G23" i="19"/>
  <c r="P23" i="19" s="1"/>
  <c r="G22" i="19"/>
  <c r="G33" i="19"/>
  <c r="P33" i="19" s="1"/>
  <c r="G29" i="19"/>
  <c r="P29" i="19" s="1"/>
  <c r="G27" i="19"/>
  <c r="P27" i="19" s="1"/>
  <c r="G26" i="19"/>
  <c r="G19" i="19"/>
  <c r="G17" i="19" l="1"/>
  <c r="G14" i="19"/>
  <c r="G13" i="19"/>
  <c r="F37" i="19" l="1"/>
  <c r="F35" i="19"/>
  <c r="P35" i="19" s="1"/>
  <c r="F26" i="19"/>
  <c r="F25" i="19"/>
  <c r="P25" i="19" s="1"/>
  <c r="F22" i="19"/>
  <c r="P22" i="19" s="1"/>
  <c r="F14" i="19"/>
  <c r="F13" i="19"/>
  <c r="F32" i="19" l="1"/>
  <c r="P32" i="19" s="1"/>
  <c r="F19" i="19"/>
  <c r="P19" i="19" s="1"/>
  <c r="F17" i="19" l="1"/>
  <c r="E17" i="19" l="1"/>
  <c r="E14" i="19"/>
  <c r="E13" i="19"/>
  <c r="P13" i="19" s="1"/>
  <c r="D17" i="19" l="1"/>
  <c r="P17" i="19" s="1"/>
  <c r="D14" i="19"/>
  <c r="P14" i="19" s="1"/>
  <c r="B75" i="19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P45" i="19"/>
  <c r="P44" i="19"/>
  <c r="P43" i="19"/>
  <c r="P42" i="19"/>
  <c r="P41" i="19"/>
  <c r="P40" i="19"/>
  <c r="P39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D37" i="19"/>
  <c r="P37" i="19" s="1"/>
  <c r="P28" i="19" s="1"/>
  <c r="O28" i="19"/>
  <c r="N28" i="19"/>
  <c r="M28" i="19"/>
  <c r="L28" i="19"/>
  <c r="K28" i="19"/>
  <c r="J28" i="19"/>
  <c r="I28" i="19"/>
  <c r="H28" i="19"/>
  <c r="G28" i="19"/>
  <c r="F28" i="19"/>
  <c r="E28" i="19"/>
  <c r="D26" i="19"/>
  <c r="P26" i="19" s="1"/>
  <c r="P18" i="19" s="1"/>
  <c r="O18" i="19"/>
  <c r="N18" i="19"/>
  <c r="M18" i="19"/>
  <c r="L18" i="19"/>
  <c r="K18" i="19"/>
  <c r="J18" i="19"/>
  <c r="I18" i="19"/>
  <c r="H18" i="19"/>
  <c r="G18" i="19"/>
  <c r="F18" i="19"/>
  <c r="E18" i="19"/>
  <c r="O12" i="19"/>
  <c r="N12" i="19"/>
  <c r="M12" i="19"/>
  <c r="L12" i="19"/>
  <c r="L11" i="19" s="1"/>
  <c r="K12" i="19"/>
  <c r="J12" i="19"/>
  <c r="I12" i="19"/>
  <c r="H12" i="19"/>
  <c r="G12" i="19"/>
  <c r="F12" i="19"/>
  <c r="E12" i="19"/>
  <c r="D12" i="19"/>
  <c r="P12" i="19" l="1"/>
  <c r="D28" i="19"/>
  <c r="B72" i="19"/>
  <c r="P64" i="19"/>
  <c r="F11" i="19"/>
  <c r="P38" i="19"/>
  <c r="E11" i="19"/>
  <c r="D18" i="19"/>
  <c r="D11" i="19" s="1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D76" i="19"/>
  <c r="D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B76" i="19" l="1"/>
  <c r="B88" i="19" s="1"/>
  <c r="B11" i="19"/>
  <c r="P11" i="19"/>
  <c r="P76" i="19"/>
  <c r="P88" i="19" s="1"/>
</calcChain>
</file>

<file path=xl/sharedStrings.xml><?xml version="1.0" encoding="utf-8"?>
<sst xmlns="http://schemas.openxmlformats.org/spreadsheetml/2006/main" count="110" uniqueCount="110">
  <si>
    <t>SERVICIO NACIONAL DE SALUD</t>
  </si>
  <si>
    <t>Ejecución Presupuestaria y Aplicacion Financiera    Septiembre  2022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</si>
  <si>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</si>
  <si>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</si>
  <si>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</si>
  <si>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</si>
  <si>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</si>
  <si>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</si>
  <si>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</si>
  <si>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</si>
  <si>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</si>
  <si>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</si>
  <si>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</si>
  <si>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</si>
  <si>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</si>
  <si>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</si>
  <si>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</si>
  <si>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</si>
  <si>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</si>
  <si>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</si>
  <si>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</si>
  <si>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</si>
  <si>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</si>
  <si>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</si>
  <si>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</si>
  <si>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</si>
  <si>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</si>
  <si>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</si>
  <si>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</si>
  <si>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</si>
  <si>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</si>
  <si>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</si>
  <si>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</si>
  <si>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</si>
  <si>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</si>
  <si>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</si>
  <si>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</si>
  <si>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</si>
  <si>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</si>
  <si>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</si>
  <si>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</si>
  <si>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</si>
  <si>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</si>
  <si>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</si>
  <si>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</si>
  <si>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</si>
  <si>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</si>
  <si>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</si>
  <si>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</si>
  <si>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</si>
  <si>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</si>
  <si>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</si>
  <si>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</si>
  <si>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</si>
  <si>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</si>
  <si>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</si>
  <si>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</si>
  <si>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</si>
  <si>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</si>
  <si>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</si>
  <si>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</si>
  <si>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</si>
  <si>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</si>
  <si>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</si>
  <si>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</si>
  <si>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</si>
  <si>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</si>
  <si>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</si>
  <si>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</si>
  <si>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</si>
  <si>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</si>
  <si>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</si>
  <si>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</si>
  <si>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</si>
  <si>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</si>
  <si>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</si>
  <si>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</si>
  <si>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</si>
  <si>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</si>
  <si>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</si>
  <si>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</si>
  <si>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</si>
  <si>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</si>
  <si>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</si>
  <si>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</si>
  <si>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</si>
  <si>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</si>
  <si>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</si>
  <si>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</si>
  <si>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</si>
  <si>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</si>
  <si>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</si>
  <si>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</si>
  <si>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</si>
  <si>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</si>
  <si>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</si>
  <si>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</si>
  <si>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</si>
  <si>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</si>
  <si>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</si>
  <si>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</si>
  <si>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</si>
  <si>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</si>
  <si>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</si>
  <si>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</si>
  <si>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>Preparado por: Lic. Luis Onorio Gonzalez</t>
  </si>
  <si>
    <t>Verificado por:</t>
  </si>
  <si>
    <t xml:space="preserve">  Lic. Francisco Villabrille</t>
  </si>
  <si>
    <t>Encargado de Presupuesto</t>
  </si>
  <si>
    <t xml:space="preserve">    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</si>
</sst>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164" fontId="4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49">
    <xf numFmtId="0" fontId="0" fillId="0" borderId="0" xfId="0"/>
    <xf numFmtId="164" fontId="0" fillId="0" borderId="1" xfId="1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 wrapText="1"/>
    </xf>
    <xf numFmtId="164" fontId="0" fillId="4" borderId="1" xfId="1" applyFont="1" applyFill="1" applyBorder="1"/>
    <xf numFmtId="164" fontId="1" fillId="4" borderId="1" xfId="1" applyFont="1" applyFill="1" applyBorder="1" applyAlignment="1">
      <alignment wrapText="1"/>
    </xf>
    <xf numFmtId="164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164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164" fontId="0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164" fontId="0" fillId="0" borderId="1" xfId="0" applyNumberFormat="1" applyBorder="1"/>
    <xf numFmtId="164" fontId="0" fillId="4" borderId="1" xfId="0" applyNumberFormat="1" applyFill="1" applyBorder="1"/>
    <xf numFmtId="164" fontId="1" fillId="4" borderId="1" xfId="0" applyNumberFormat="1" applyFont="1" applyFill="1" applyBorder="1"/>
    <xf numFmtId="164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164" fontId="1" fillId="4" borderId="4" xfId="1" applyFont="1" applyFill="1" applyBorder="1"/>
    <xf numFmtId="164" fontId="1" fillId="4" borderId="4" xfId="1" applyFont="1" applyFill="1" applyBorder="1" applyAlignment="1">
      <alignment wrapText="1"/>
    </xf>
    <xf numFmtId="164" fontId="1" fillId="4" borderId="4" xfId="0" applyNumberFormat="1" applyFont="1" applyFill="1" applyBorder="1"/>
    <xf numFmtId="0" fontId="1" fillId="0" borderId="5" xfId="0" applyFont="1" applyBorder="1" applyAlignment="1">
      <alignment horizontal="left" vertical="center" wrapText="1"/>
    </xf>
    <xf numFmtId="164" fontId="1" fillId="0" borderId="6" xfId="1" applyFont="1" applyBorder="1" applyAlignment="1">
      <alignment horizontal="left" vertical="center" wrapText="1"/>
    </xf>
    <xf numFmtId="164" fontId="1" fillId="0" borderId="7" xfId="0" applyNumberFormat="1" applyFont="1" applyBorder="1"/>
    <xf numFmtId="0" fontId="1" fillId="3" borderId="1" xfId="0" applyFont="1" applyFill="1" applyBorder="1" applyAlignment="1">
      <alignment horizontal="left" vertical="center"/>
    </xf>
    <xf numFmtId="164" fontId="4" fillId="0" borderId="1" xfId="1" applyFont="1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8" fillId="0" borderId="2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Comma" xfId="1" builtinId="3"/>
    <cellStyle name="Millares 2" xfId="3" xr:uid="{00000000-0005-0000-0000-000001000000}"/>
    <cellStyle name="Millares 2 4" xfId="5" xr:uid="{00000000-0005-0000-0000-000002000000}"/>
    <cellStyle name="Normal" xfId="0" builtinId="0"/>
    <cellStyle name="Normal 10" xfId="8" xr:uid="{00000000-0005-0000-0000-000004000000}"/>
    <cellStyle name="Normal 11" xfId="10" xr:uid="{00000000-0005-0000-0000-000005000000}"/>
    <cellStyle name="Normal 12 3" xfId="11" xr:uid="{00000000-0005-0000-0000-000006000000}"/>
    <cellStyle name="Normal 17" xfId="6" xr:uid="{00000000-0005-0000-0000-000007000000}"/>
    <cellStyle name="Normal 2 2" xfId="2" xr:uid="{00000000-0005-0000-0000-000008000000}"/>
    <cellStyle name="Normal 2 4" xfId="7" xr:uid="{00000000-0005-0000-0000-000009000000}"/>
    <cellStyle name="Normal 5" xfId="13" xr:uid="{00000000-0005-0000-0000-00000A000000}"/>
    <cellStyle name="Normal 9" xfId="9" xr:uid="{00000000-0005-0000-0000-00000B000000}"/>
    <cellStyle name="Normal 9 2 2" xfId="12" xr:uid="{00000000-0005-0000-0000-00000C000000}"/>
    <cellStyle name="Porcentaje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249998</xdr:colOff>
      <xdr:row>0</xdr:row>
      <xdr:rowOff>208572</xdr:rowOff>
    </xdr:from>
    <xdr:to>
      <xdr:col>14</xdr:col>
      <xdr:colOff>360405</xdr:colOff>
      <xdr:row>6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366048" y="208572"/>
          <a:ext cx="103433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4</xdr:row>
      <xdr:rowOff>9697</xdr:rowOff>
    </xdr:from>
    <xdr:to>
      <xdr:col>0</xdr:col>
      <xdr:colOff>1414731</xdr:colOff>
      <xdr:row>7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1238250</xdr:colOff>
      <xdr:row>0</xdr:row>
      <xdr:rowOff>38272</xdr:rowOff>
    </xdr:from>
    <xdr:to>
      <xdr:col>0</xdr:col>
      <xdr:colOff>3409950</xdr:colOff>
      <xdr:row>3</xdr:row>
      <xdr:rowOff>142875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8272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390525</xdr:colOff>
      <xdr:row>2</xdr:row>
      <xdr:rowOff>0</xdr:rowOff>
    </xdr:from>
    <xdr:to>
      <xdr:col>7</xdr:col>
      <xdr:colOff>95250</xdr:colOff>
      <xdr:row>5</xdr:row>
      <xdr:rowOff>115360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762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180975</xdr:colOff>
      <xdr:row>103</xdr:row>
      <xdr:rowOff>19050</xdr:rowOff>
    </xdr:from>
    <xdr:to>
      <xdr:col>6</xdr:col>
      <xdr:colOff>304800</xdr:colOff>
      <xdr:row>107</xdr:row>
      <xdr:rowOff>114300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7162800" y="2015490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238125</xdr:colOff>
      <xdr:row>104</xdr:row>
      <xdr:rowOff>19050</xdr:rowOff>
    </xdr:from>
    <xdr:to>
      <xdr:col>0</xdr:col>
      <xdr:colOff>3543300</xdr:colOff>
      <xdr:row>107</xdr:row>
      <xdr:rowOff>161925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0354925"/>
          <a:ext cx="3305175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809634</xdr:colOff>
      <xdr:row>103</xdr:row>
      <xdr:rowOff>76200</xdr:rowOff>
    </xdr:from>
    <xdr:to>
      <xdr:col>3</xdr:col>
      <xdr:colOff>823604</xdr:colOff>
      <xdr:row>113</xdr:row>
      <xdr:rowOff>151765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846011" y="20128548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topLeftCell="B39" workbookViewId="0">
      <selection activeCell="L15" sqref="L15"/>
    </sheetView>
  </sheetViews>
  <sheetFormatPr defaultColWidth="11.42578125" defaultRowHeight="15"/>
  <cols>
    <col min="1" max="1" width="59.140625" customWidth="1"/>
    <col min="2" max="2" width="17.140625" customWidth="1"/>
    <col min="3" max="3" width="15.140625" customWidth="1"/>
    <col min="4" max="4" width="14.140625" customWidth="1"/>
    <col min="5" max="5" width="14.42578125" customWidth="1"/>
    <col min="6" max="7" width="14.5703125" customWidth="1"/>
    <col min="8" max="8" width="13.85546875" customWidth="1"/>
    <col min="9" max="9" width="15.28515625" customWidth="1"/>
    <col min="10" max="10" width="14.5703125" customWidth="1"/>
    <col min="11" max="11" width="15.5703125" customWidth="1"/>
    <col min="12" max="12" width="15.42578125" customWidth="1"/>
    <col min="13" max="13" width="9.42578125" customWidth="1"/>
    <col min="14" max="14" width="11.85546875" customWidth="1"/>
    <col min="15" max="15" width="10.7109375" customWidth="1"/>
    <col min="16" max="16" width="15.42578125" customWidth="1"/>
    <col min="17" max="17" width="15.140625" bestFit="1" customWidth="1"/>
  </cols>
  <sheetData>
    <row r="1" spans="1:16" ht="18.7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6" ht="18.7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6" ht="18.7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6" ht="18.7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6" ht="18.7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6" ht="18.7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6" ht="15.75">
      <c r="A7" s="47" t="s">
        <v>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6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10" spans="1:16" ht="32.25" thickBot="1">
      <c r="A10" s="21" t="s">
        <v>2</v>
      </c>
      <c r="B10" s="22" t="s">
        <v>3</v>
      </c>
      <c r="C10" s="22" t="s">
        <v>4</v>
      </c>
      <c r="D10" s="22" t="s">
        <v>5</v>
      </c>
      <c r="E10" s="22" t="s">
        <v>6</v>
      </c>
      <c r="F10" s="22" t="s">
        <v>7</v>
      </c>
      <c r="G10" s="22" t="s">
        <v>8</v>
      </c>
      <c r="H10" s="22" t="s">
        <v>9</v>
      </c>
      <c r="I10" s="22" t="s">
        <v>10</v>
      </c>
      <c r="J10" s="22" t="s">
        <v>11</v>
      </c>
      <c r="K10" s="22" t="s">
        <v>12</v>
      </c>
      <c r="L10" s="22" t="s">
        <v>13</v>
      </c>
      <c r="M10" s="22" t="s">
        <v>14</v>
      </c>
      <c r="N10" s="22" t="s">
        <v>15</v>
      </c>
      <c r="O10" s="22" t="s">
        <v>16</v>
      </c>
      <c r="P10" s="23" t="s">
        <v>17</v>
      </c>
    </row>
    <row r="11" spans="1:16" ht="15.75" thickBot="1">
      <c r="A11" s="27" t="s">
        <v>18</v>
      </c>
      <c r="B11" s="28">
        <f t="shared" ref="B11:F11" si="0">B12+B18+B28+B38+B46+B54+B64+B69+B72</f>
        <v>2116920478</v>
      </c>
      <c r="C11" s="28">
        <f t="shared" si="0"/>
        <v>0</v>
      </c>
      <c r="D11" s="28">
        <f t="shared" si="0"/>
        <v>31204931.529999997</v>
      </c>
      <c r="E11" s="28">
        <f t="shared" si="0"/>
        <v>48683287.68</v>
      </c>
      <c r="F11" s="28">
        <f t="shared" si="0"/>
        <v>112976078.68000001</v>
      </c>
      <c r="G11" s="28">
        <f t="shared" ref="G11:L11" si="1">G12+G18+G28+G38+G46+G54+G64+G69+G72</f>
        <v>112367497.05400001</v>
      </c>
      <c r="H11" s="28">
        <f t="shared" si="1"/>
        <v>62238479.960000001</v>
      </c>
      <c r="I11" s="28">
        <f t="shared" si="1"/>
        <v>87532232.280000001</v>
      </c>
      <c r="J11" s="28">
        <f t="shared" si="1"/>
        <v>81413442.209999993</v>
      </c>
      <c r="K11" s="28">
        <f t="shared" si="1"/>
        <v>107510136.51000002</v>
      </c>
      <c r="L11" s="28">
        <f t="shared" si="1"/>
        <v>120073350.96999998</v>
      </c>
      <c r="M11" s="28"/>
      <c r="N11" s="28"/>
      <c r="O11" s="28"/>
      <c r="P11" s="29">
        <f>SUM(D11:O11)</f>
        <v>763999436.87400007</v>
      </c>
    </row>
    <row r="12" spans="1:16">
      <c r="A12" s="39" t="s">
        <v>19</v>
      </c>
      <c r="B12" s="24">
        <f>B13+B14+B15+B16+B17</f>
        <v>777408816</v>
      </c>
      <c r="C12" s="24"/>
      <c r="D12" s="25">
        <f>SUM(D13:D17)</f>
        <v>29621146.68</v>
      </c>
      <c r="E12" s="25">
        <f t="shared" ref="E12:O12" si="2">SUM(E13:E17)</f>
        <v>30893686.449999999</v>
      </c>
      <c r="F12" s="25">
        <f t="shared" si="2"/>
        <v>31689234.969999999</v>
      </c>
      <c r="G12" s="25">
        <f t="shared" si="2"/>
        <v>64473442.010000005</v>
      </c>
      <c r="H12" s="25">
        <f t="shared" si="2"/>
        <v>42506162.640000001</v>
      </c>
      <c r="I12" s="25">
        <f t="shared" si="2"/>
        <v>29695209.300000001</v>
      </c>
      <c r="J12" s="25">
        <f t="shared" si="2"/>
        <v>32256784.199999999</v>
      </c>
      <c r="K12" s="25">
        <f t="shared" si="2"/>
        <v>51038799.469999999</v>
      </c>
      <c r="L12" s="25">
        <f t="shared" si="2"/>
        <v>65863958.350000001</v>
      </c>
      <c r="M12" s="25">
        <f t="shared" si="2"/>
        <v>0</v>
      </c>
      <c r="N12" s="25">
        <f t="shared" si="2"/>
        <v>0</v>
      </c>
      <c r="O12" s="25">
        <f t="shared" si="2"/>
        <v>0</v>
      </c>
      <c r="P12" s="26">
        <f>SUM(P13:P17)</f>
        <v>378038424.06999999</v>
      </c>
    </row>
    <row r="13" spans="1:16">
      <c r="A13" s="43" t="s">
        <v>20</v>
      </c>
      <c r="B13" s="31">
        <v>448042160</v>
      </c>
      <c r="C13" s="10">
        <f>(2300000-2300000)+(2300000-2300000)</f>
        <v>0</v>
      </c>
      <c r="D13" s="1">
        <v>16605951.199999999</v>
      </c>
      <c r="E13" s="15">
        <f>16962070.74+9007555.62+424585.57</f>
        <v>26394211.93</v>
      </c>
      <c r="F13" s="1">
        <f>17077596.94+10272858.85</f>
        <v>27350455.789999999</v>
      </c>
      <c r="G13" s="1">
        <f>7827445.76+1372423.84+71389.02+17045596.94</f>
        <v>26316855.560000002</v>
      </c>
      <c r="H13" s="1">
        <v>26937930.170000002</v>
      </c>
      <c r="I13" s="1">
        <v>25407695.949999999</v>
      </c>
      <c r="J13" s="1">
        <v>27999408.609999999</v>
      </c>
      <c r="K13" s="1">
        <f>16785391.18+9056681.83</f>
        <v>25842073.009999998</v>
      </c>
      <c r="L13" s="1">
        <f>8002091.96+128874.5+45000+16736736.93</f>
        <v>24912703.390000001</v>
      </c>
      <c r="M13" s="1">
        <v>0</v>
      </c>
      <c r="N13" s="1">
        <v>0</v>
      </c>
      <c r="O13" s="1">
        <v>0</v>
      </c>
      <c r="P13" s="17">
        <f>SUM(D13:O13)</f>
        <v>227767285.60999995</v>
      </c>
    </row>
    <row r="14" spans="1:16" ht="45">
      <c r="A14" s="43" t="s">
        <v>21</v>
      </c>
      <c r="B14" s="31">
        <v>267684927</v>
      </c>
      <c r="C14" s="10"/>
      <c r="D14" s="1">
        <f>7724136.31+1028881.87+529031</f>
        <v>9282049.1799999997</v>
      </c>
      <c r="E14" s="1">
        <f>528031+177000</f>
        <v>705031</v>
      </c>
      <c r="F14" s="1">
        <f>66413+461618</f>
        <v>528031</v>
      </c>
      <c r="G14" s="1">
        <f>33812459.07+527531</f>
        <v>34339990.07</v>
      </c>
      <c r="H14" s="1">
        <v>11716936.6</v>
      </c>
      <c r="I14" s="1">
        <v>463031</v>
      </c>
      <c r="J14" s="1">
        <v>463031</v>
      </c>
      <c r="K14" s="1">
        <f>409618+66413+20938398.11</f>
        <v>21414429.109999999</v>
      </c>
      <c r="L14" s="1">
        <f>36422523.68+476031</f>
        <v>36898554.68</v>
      </c>
      <c r="M14" s="1">
        <v>0</v>
      </c>
      <c r="N14" s="1">
        <v>0</v>
      </c>
      <c r="O14" s="1">
        <v>0</v>
      </c>
      <c r="P14" s="17">
        <f t="shared" ref="P14:P17" si="3">SUM(D14:O14)</f>
        <v>115811083.64000002</v>
      </c>
    </row>
    <row r="15" spans="1:16">
      <c r="A15" s="43" t="s">
        <v>22</v>
      </c>
      <c r="B15" s="31">
        <v>0</v>
      </c>
      <c r="C15" s="10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7">
        <f t="shared" si="3"/>
        <v>0</v>
      </c>
    </row>
    <row r="16" spans="1:16">
      <c r="A16" s="43" t="s">
        <v>23</v>
      </c>
      <c r="B16" s="31">
        <v>774792</v>
      </c>
      <c r="C16" s="10"/>
      <c r="D16" s="1"/>
      <c r="E16" s="1"/>
      <c r="F16" s="1"/>
      <c r="G16" s="1"/>
      <c r="H16" s="1"/>
      <c r="I16" s="1"/>
      <c r="J16" s="1"/>
      <c r="K16" s="1"/>
      <c r="L16" s="1">
        <v>250000</v>
      </c>
      <c r="M16" s="1"/>
      <c r="N16" s="1"/>
      <c r="O16" s="1"/>
      <c r="P16" s="17">
        <f t="shared" si="3"/>
        <v>250000</v>
      </c>
    </row>
    <row r="17" spans="1:16">
      <c r="A17" s="43" t="s">
        <v>24</v>
      </c>
      <c r="B17" s="31">
        <v>60906937</v>
      </c>
      <c r="C17" s="10"/>
      <c r="D17" s="1">
        <f>1184280.93+2548865.37</f>
        <v>3733146.3</v>
      </c>
      <c r="E17" s="1">
        <f>2603616.81+1190826.71</f>
        <v>3794443.52</v>
      </c>
      <c r="F17" s="1">
        <f>2621285.57+1189462.61</f>
        <v>3810748.1799999997</v>
      </c>
      <c r="G17" s="1">
        <f>1200235.61+2616360.77</f>
        <v>3816596.38</v>
      </c>
      <c r="H17" s="1">
        <v>3851295.87</v>
      </c>
      <c r="I17" s="1">
        <v>3824482.35</v>
      </c>
      <c r="J17" s="1">
        <v>3794344.59</v>
      </c>
      <c r="K17" s="1">
        <f>2576315.09+1205982.26</f>
        <v>3782297.3499999996</v>
      </c>
      <c r="L17" s="1">
        <f>570538.83+571343.62+91990.63+2568827.2</f>
        <v>3802700.2800000003</v>
      </c>
      <c r="M17" s="1">
        <v>0</v>
      </c>
      <c r="N17" s="1">
        <v>0</v>
      </c>
      <c r="O17" s="1">
        <v>0</v>
      </c>
      <c r="P17" s="17">
        <f t="shared" si="3"/>
        <v>34210054.82</v>
      </c>
    </row>
    <row r="18" spans="1:16">
      <c r="A18" s="40" t="s">
        <v>25</v>
      </c>
      <c r="B18" s="13">
        <f>B19+B20+B21+B22+B23+B24+B25+B26+B27</f>
        <v>161488299</v>
      </c>
      <c r="C18" s="9">
        <f>SUM(C19:C27)</f>
        <v>0</v>
      </c>
      <c r="D18" s="9">
        <f>SUM(D19:D27)</f>
        <v>1464653.7</v>
      </c>
      <c r="E18" s="9">
        <f t="shared" ref="E18:O18" si="4">SUM(E19:E27)</f>
        <v>4508308.12</v>
      </c>
      <c r="F18" s="9">
        <f t="shared" si="4"/>
        <v>6861421.8100000005</v>
      </c>
      <c r="G18" s="9">
        <f t="shared" si="4"/>
        <v>13333493.334000003</v>
      </c>
      <c r="H18" s="9">
        <f t="shared" si="4"/>
        <v>5937132.7599999998</v>
      </c>
      <c r="I18" s="9">
        <f t="shared" si="4"/>
        <v>2098308.46</v>
      </c>
      <c r="J18" s="9">
        <f t="shared" si="4"/>
        <v>2752970.86</v>
      </c>
      <c r="K18" s="9">
        <f t="shared" si="4"/>
        <v>17534932.770000003</v>
      </c>
      <c r="L18" s="9">
        <f t="shared" si="4"/>
        <v>5167063.45</v>
      </c>
      <c r="M18" s="9">
        <f t="shared" si="4"/>
        <v>0</v>
      </c>
      <c r="N18" s="9">
        <f t="shared" si="4"/>
        <v>0</v>
      </c>
      <c r="O18" s="9">
        <f t="shared" si="4"/>
        <v>0</v>
      </c>
      <c r="P18" s="19">
        <f>SUM(P19:P27)</f>
        <v>59658285.263999999</v>
      </c>
    </row>
    <row r="19" spans="1:16">
      <c r="A19" s="43" t="s">
        <v>26</v>
      </c>
      <c r="B19" s="31">
        <v>52851509</v>
      </c>
      <c r="C19" s="10"/>
      <c r="D19" s="1">
        <v>0</v>
      </c>
      <c r="E19" s="1">
        <v>1535753.29</v>
      </c>
      <c r="F19" s="1">
        <f>633417.08+769772.4</f>
        <v>1403189.48</v>
      </c>
      <c r="G19" s="1">
        <f>1000</f>
        <v>1000</v>
      </c>
      <c r="H19" s="1">
        <v>947302.16</v>
      </c>
      <c r="I19" s="1">
        <v>593343.64</v>
      </c>
      <c r="J19" s="1">
        <v>0</v>
      </c>
      <c r="K19" s="1">
        <v>6309298.1500000004</v>
      </c>
      <c r="L19" s="1">
        <v>188000</v>
      </c>
      <c r="M19" s="1">
        <v>0</v>
      </c>
      <c r="N19" s="1">
        <v>0</v>
      </c>
      <c r="O19" s="1">
        <v>0</v>
      </c>
      <c r="P19" s="17">
        <f>SUM(D19:O19)</f>
        <v>10977886.720000001</v>
      </c>
    </row>
    <row r="20" spans="1:16">
      <c r="A20" s="43" t="s">
        <v>27</v>
      </c>
      <c r="B20" s="31">
        <v>2404500</v>
      </c>
      <c r="C20" s="10"/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7">
        <f t="shared" ref="P20:P27" si="5">SUM(D20:O20)</f>
        <v>0</v>
      </c>
    </row>
    <row r="21" spans="1:16">
      <c r="A21" s="43" t="s">
        <v>28</v>
      </c>
      <c r="B21" s="31">
        <v>10433472</v>
      </c>
      <c r="C21" s="10"/>
      <c r="D21" s="1">
        <v>0</v>
      </c>
      <c r="E21" s="1">
        <v>0</v>
      </c>
      <c r="F21" s="1">
        <v>0</v>
      </c>
      <c r="G21" s="1"/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7">
        <f t="shared" si="5"/>
        <v>0</v>
      </c>
    </row>
    <row r="22" spans="1:16">
      <c r="A22" s="43" t="s">
        <v>29</v>
      </c>
      <c r="B22" s="31">
        <v>1753937</v>
      </c>
      <c r="C22" s="10"/>
      <c r="D22" s="1">
        <v>2710</v>
      </c>
      <c r="E22" s="1">
        <v>97789.57</v>
      </c>
      <c r="F22" s="1">
        <f>3000+630</f>
        <v>3630</v>
      </c>
      <c r="G22" s="1">
        <f>2698.73+818.6+310</f>
        <v>3827.33</v>
      </c>
      <c r="H22" s="1">
        <v>56420</v>
      </c>
      <c r="I22" s="1">
        <v>1755.43</v>
      </c>
      <c r="J22" s="1">
        <v>2893.52</v>
      </c>
      <c r="K22" s="1">
        <v>6140.15</v>
      </c>
      <c r="L22" s="1">
        <v>2977.07</v>
      </c>
      <c r="M22" s="1">
        <v>0</v>
      </c>
      <c r="N22" s="1">
        <v>0</v>
      </c>
      <c r="O22" s="1">
        <v>0</v>
      </c>
      <c r="P22" s="17">
        <f t="shared" si="5"/>
        <v>178143.07</v>
      </c>
    </row>
    <row r="23" spans="1:16">
      <c r="A23" s="43" t="s">
        <v>30</v>
      </c>
      <c r="B23" s="31">
        <v>10590657</v>
      </c>
      <c r="C23" s="10"/>
      <c r="D23" s="1">
        <v>0</v>
      </c>
      <c r="E23" s="1">
        <v>401200</v>
      </c>
      <c r="F23" s="1">
        <v>800</v>
      </c>
      <c r="G23" s="1">
        <f>125981.52+5000</f>
        <v>130981.52</v>
      </c>
      <c r="H23" s="1">
        <v>2500</v>
      </c>
      <c r="I23" s="1">
        <v>0</v>
      </c>
      <c r="J23" s="1">
        <v>2000</v>
      </c>
      <c r="K23" s="1">
        <v>2000</v>
      </c>
      <c r="L23" s="1">
        <v>2500</v>
      </c>
      <c r="M23" s="1">
        <v>0</v>
      </c>
      <c r="N23" s="1">
        <v>0</v>
      </c>
      <c r="O23" s="1">
        <v>0</v>
      </c>
      <c r="P23" s="17">
        <f t="shared" si="5"/>
        <v>541981.52</v>
      </c>
    </row>
    <row r="24" spans="1:16">
      <c r="A24" s="43" t="s">
        <v>31</v>
      </c>
      <c r="B24" s="31">
        <v>7284357</v>
      </c>
      <c r="C24" s="10"/>
      <c r="D24" s="1">
        <v>0</v>
      </c>
      <c r="E24" s="1">
        <v>450400.17</v>
      </c>
      <c r="F24" s="1">
        <v>762671.52</v>
      </c>
      <c r="G24" s="1">
        <v>399388.62</v>
      </c>
      <c r="H24" s="1">
        <v>1571411.02</v>
      </c>
      <c r="I24" s="1">
        <v>437498.6</v>
      </c>
      <c r="J24" s="1">
        <v>438542.38</v>
      </c>
      <c r="K24" s="1">
        <v>8898364.0700000003</v>
      </c>
      <c r="L24" s="1">
        <v>239811.66</v>
      </c>
      <c r="M24" s="1">
        <v>0</v>
      </c>
      <c r="N24" s="1">
        <v>0</v>
      </c>
      <c r="O24" s="1">
        <v>0</v>
      </c>
      <c r="P24" s="17">
        <f t="shared" si="5"/>
        <v>13198088.040000001</v>
      </c>
    </row>
    <row r="25" spans="1:16">
      <c r="A25" s="43" t="s">
        <v>32</v>
      </c>
      <c r="B25" s="31">
        <v>37930053</v>
      </c>
      <c r="C25" s="10"/>
      <c r="D25" s="1">
        <v>350</v>
      </c>
      <c r="E25" s="1">
        <v>293525</v>
      </c>
      <c r="F25" s="1">
        <f>118000+109911.1+5745+328718.5</f>
        <v>562374.6</v>
      </c>
      <c r="G25" s="1">
        <f>10559323.48+2242+5710</f>
        <v>10567275.48</v>
      </c>
      <c r="H25" s="1">
        <v>2684778.58</v>
      </c>
      <c r="I25" s="1">
        <v>204541.2</v>
      </c>
      <c r="J25" s="1">
        <v>526781.86</v>
      </c>
      <c r="K25" s="1">
        <v>1077865.78</v>
      </c>
      <c r="L25" s="1">
        <f>1058196.4+32450+898586.52+72690+37229</f>
        <v>2099151.92</v>
      </c>
      <c r="M25" s="1">
        <v>0</v>
      </c>
      <c r="N25" s="1">
        <v>0</v>
      </c>
      <c r="O25" s="1">
        <v>0</v>
      </c>
      <c r="P25" s="17">
        <f t="shared" si="5"/>
        <v>18016644.419999998</v>
      </c>
    </row>
    <row r="26" spans="1:16">
      <c r="A26" s="43" t="s">
        <v>33</v>
      </c>
      <c r="B26" s="31">
        <v>26739814</v>
      </c>
      <c r="C26" s="10"/>
      <c r="D26" s="1">
        <f>460000+2500</f>
        <v>462500</v>
      </c>
      <c r="E26" s="1">
        <v>836783.79</v>
      </c>
      <c r="F26" s="1">
        <f>160000+788210+2700+979416+1069865.71</f>
        <v>3000191.71</v>
      </c>
      <c r="G26" s="1">
        <f>960835.42+5500.22</f>
        <v>966335.64</v>
      </c>
      <c r="H26" s="1">
        <v>674721</v>
      </c>
      <c r="I26" s="1">
        <v>861169.59</v>
      </c>
      <c r="J26" s="1">
        <v>1098400</v>
      </c>
      <c r="K26" s="1">
        <v>1239549.6100000001</v>
      </c>
      <c r="L26" s="1">
        <f>5000+401200+350+187800+438800+700+5000</f>
        <v>1038850</v>
      </c>
      <c r="M26" s="1">
        <v>0</v>
      </c>
      <c r="N26" s="1">
        <v>0</v>
      </c>
      <c r="O26" s="1">
        <v>0</v>
      </c>
      <c r="P26" s="17">
        <f t="shared" si="5"/>
        <v>10178501.34</v>
      </c>
    </row>
    <row r="27" spans="1:16">
      <c r="A27" s="43" t="s">
        <v>34</v>
      </c>
      <c r="B27" s="31">
        <v>11500000</v>
      </c>
      <c r="C27" s="10"/>
      <c r="D27" s="1">
        <v>999093.7</v>
      </c>
      <c r="E27" s="1">
        <v>892856.3</v>
      </c>
      <c r="F27" s="1">
        <v>1128564.5</v>
      </c>
      <c r="G27" s="1">
        <f>1264029.754+654.99</f>
        <v>1264684.7439999999</v>
      </c>
      <c r="H27" s="1">
        <v>0</v>
      </c>
      <c r="I27" s="1">
        <v>0</v>
      </c>
      <c r="J27" s="1">
        <v>684353.1</v>
      </c>
      <c r="K27" s="1">
        <v>1715.01</v>
      </c>
      <c r="L27" s="1">
        <v>1595772.8</v>
      </c>
      <c r="M27" s="1">
        <v>0</v>
      </c>
      <c r="N27" s="1">
        <v>0</v>
      </c>
      <c r="O27" s="1">
        <v>0</v>
      </c>
      <c r="P27" s="17">
        <f t="shared" si="5"/>
        <v>6567040.1539999992</v>
      </c>
    </row>
    <row r="28" spans="1:16">
      <c r="A28" s="40" t="s">
        <v>35</v>
      </c>
      <c r="B28" s="13">
        <f>B29+B30+B31+B32+B33+B34+B35+B36+B37</f>
        <v>984021555</v>
      </c>
      <c r="C28" s="9"/>
      <c r="D28" s="9">
        <f>SUM(D29:D37)</f>
        <v>119131.15</v>
      </c>
      <c r="E28" s="9">
        <f t="shared" ref="E28:N28" si="6">SUM(E29:E37)</f>
        <v>12402293.109999999</v>
      </c>
      <c r="F28" s="9">
        <f t="shared" si="6"/>
        <v>41764179.480000004</v>
      </c>
      <c r="G28" s="9">
        <f t="shared" si="6"/>
        <v>33920488.409999996</v>
      </c>
      <c r="H28" s="9">
        <f t="shared" si="6"/>
        <v>13425852.719999999</v>
      </c>
      <c r="I28" s="9">
        <f t="shared" si="6"/>
        <v>43777940.340000004</v>
      </c>
      <c r="J28" s="9">
        <f t="shared" si="6"/>
        <v>35721346.350000001</v>
      </c>
      <c r="K28" s="9">
        <f t="shared" si="6"/>
        <v>17251494.870000001</v>
      </c>
      <c r="L28" s="9">
        <f t="shared" si="6"/>
        <v>45299602.399999999</v>
      </c>
      <c r="M28" s="9">
        <f t="shared" si="6"/>
        <v>0</v>
      </c>
      <c r="N28" s="9">
        <f t="shared" si="6"/>
        <v>0</v>
      </c>
      <c r="O28" s="9">
        <f>SUM(O29:O37)</f>
        <v>0</v>
      </c>
      <c r="P28" s="19">
        <f>SUM(P29:P37)</f>
        <v>243682328.82999998</v>
      </c>
    </row>
    <row r="29" spans="1:16">
      <c r="A29" s="43" t="s">
        <v>36</v>
      </c>
      <c r="B29" s="31">
        <v>40491526</v>
      </c>
      <c r="C29" s="10"/>
      <c r="D29" s="1">
        <v>0</v>
      </c>
      <c r="E29" s="1">
        <v>0</v>
      </c>
      <c r="F29" s="1">
        <v>145020</v>
      </c>
      <c r="G29" s="1">
        <f>392888.31+3894</f>
        <v>396782.31</v>
      </c>
      <c r="H29" s="1">
        <v>172200</v>
      </c>
      <c r="I29" s="1">
        <v>1221116.24</v>
      </c>
      <c r="J29" s="1">
        <v>0</v>
      </c>
      <c r="K29" s="1">
        <v>58080</v>
      </c>
      <c r="L29" s="1">
        <v>1638779.29</v>
      </c>
      <c r="M29" s="1">
        <v>0</v>
      </c>
      <c r="N29" s="1">
        <v>0</v>
      </c>
      <c r="O29" s="1">
        <v>0</v>
      </c>
      <c r="P29" s="17">
        <f>SUM(D29:O29)</f>
        <v>3631977.84</v>
      </c>
    </row>
    <row r="30" spans="1:16">
      <c r="A30" s="43" t="s">
        <v>37</v>
      </c>
      <c r="B30" s="31">
        <v>11500543</v>
      </c>
      <c r="C30" s="10"/>
      <c r="D30" s="1"/>
      <c r="E30" s="1"/>
      <c r="F30" s="1">
        <v>936528.24</v>
      </c>
      <c r="G30" s="1"/>
      <c r="H30" s="1">
        <v>17632.2</v>
      </c>
      <c r="I30" s="1">
        <v>433868.3</v>
      </c>
      <c r="J30" s="1"/>
      <c r="K30" s="1">
        <v>599473</v>
      </c>
      <c r="L30" s="1">
        <v>30975</v>
      </c>
      <c r="M30" s="1"/>
      <c r="N30" s="1"/>
      <c r="O30" s="1"/>
      <c r="P30" s="17">
        <f t="shared" ref="P30:P37" si="7">SUM(D30:O30)</f>
        <v>2018476.74</v>
      </c>
    </row>
    <row r="31" spans="1:16">
      <c r="A31" s="43" t="s">
        <v>38</v>
      </c>
      <c r="B31" s="31">
        <v>11287580</v>
      </c>
      <c r="C31" s="10"/>
      <c r="D31" s="1"/>
      <c r="E31" s="1">
        <v>436611.8</v>
      </c>
      <c r="F31" s="1">
        <v>110448</v>
      </c>
      <c r="G31" s="1">
        <f>176115+2950+3600</f>
        <v>182665</v>
      </c>
      <c r="H31" s="1">
        <v>481645.96</v>
      </c>
      <c r="I31" s="1">
        <v>360050.19</v>
      </c>
      <c r="J31" s="1">
        <v>986044.8</v>
      </c>
      <c r="K31" s="1">
        <v>16815</v>
      </c>
      <c r="L31" s="1">
        <f>371169+1140717.09+439786</f>
        <v>1951672.09</v>
      </c>
      <c r="M31" s="1"/>
      <c r="N31" s="1"/>
      <c r="O31" s="1"/>
      <c r="P31" s="17">
        <f t="shared" si="7"/>
        <v>4525952.84</v>
      </c>
    </row>
    <row r="32" spans="1:16">
      <c r="A32" s="43" t="s">
        <v>39</v>
      </c>
      <c r="B32" s="31">
        <v>274095564</v>
      </c>
      <c r="C32" s="10"/>
      <c r="D32" s="1">
        <v>2000</v>
      </c>
      <c r="E32" s="1">
        <v>3962308.33</v>
      </c>
      <c r="F32" s="1">
        <f>3268351.1+6375000+648000</f>
        <v>10291351.1</v>
      </c>
      <c r="G32" s="1">
        <v>6574210.5300000003</v>
      </c>
      <c r="H32" s="1">
        <v>1340736.6499999999</v>
      </c>
      <c r="I32" s="1">
        <v>7031484.1200000001</v>
      </c>
      <c r="J32" s="1">
        <v>6698705.2000000002</v>
      </c>
      <c r="K32" s="1">
        <v>709634.8</v>
      </c>
      <c r="L32" s="1">
        <v>4553181.62</v>
      </c>
      <c r="M32" s="1">
        <v>0</v>
      </c>
      <c r="N32" s="1">
        <v>0</v>
      </c>
      <c r="O32" s="1">
        <v>0</v>
      </c>
      <c r="P32" s="17">
        <f t="shared" si="7"/>
        <v>41163612.349999994</v>
      </c>
    </row>
    <row r="33" spans="1:16">
      <c r="A33" s="43" t="s">
        <v>40</v>
      </c>
      <c r="B33" s="31">
        <v>4818424</v>
      </c>
      <c r="C33" s="10"/>
      <c r="D33" s="1">
        <v>2550</v>
      </c>
      <c r="E33" s="1">
        <v>232467.14</v>
      </c>
      <c r="F33" s="1">
        <v>2560.8000000000002</v>
      </c>
      <c r="G33" s="1">
        <f>1083800.5+2070</f>
        <v>1085870.5</v>
      </c>
      <c r="H33" s="1">
        <v>70755</v>
      </c>
      <c r="I33" s="1">
        <v>90621</v>
      </c>
      <c r="J33" s="1">
        <v>64830</v>
      </c>
      <c r="K33" s="1">
        <v>10314.36</v>
      </c>
      <c r="L33" s="1">
        <f>35450.27+900+1691886.78</f>
        <v>1728237.05</v>
      </c>
      <c r="M33" s="1"/>
      <c r="N33" s="1"/>
      <c r="O33" s="1"/>
      <c r="P33" s="17">
        <f t="shared" si="7"/>
        <v>3288205.85</v>
      </c>
    </row>
    <row r="34" spans="1:16">
      <c r="A34" s="43" t="s">
        <v>41</v>
      </c>
      <c r="B34" s="31">
        <v>4034410</v>
      </c>
      <c r="C34" s="10"/>
      <c r="D34" s="1"/>
      <c r="E34" s="1">
        <v>3186</v>
      </c>
      <c r="F34" s="1">
        <v>277124.14</v>
      </c>
      <c r="G34" s="1">
        <f>239304+325+3520+1600+4825</f>
        <v>249574</v>
      </c>
      <c r="H34" s="1">
        <v>13888.72</v>
      </c>
      <c r="I34" s="1">
        <v>7107.4</v>
      </c>
      <c r="J34" s="1">
        <v>715022.23</v>
      </c>
      <c r="K34" s="1">
        <v>15605</v>
      </c>
      <c r="L34" s="1">
        <f>485+31176.16+18839.19+1975.01</f>
        <v>52475.360000000001</v>
      </c>
      <c r="M34" s="1"/>
      <c r="N34" s="1"/>
      <c r="O34" s="1"/>
      <c r="P34" s="17">
        <f t="shared" si="7"/>
        <v>1333982.8500000001</v>
      </c>
    </row>
    <row r="35" spans="1:16">
      <c r="A35" s="43" t="s">
        <v>42</v>
      </c>
      <c r="B35" s="31">
        <v>119301280</v>
      </c>
      <c r="C35" s="10"/>
      <c r="D35" s="1">
        <v>0</v>
      </c>
      <c r="E35" s="1">
        <v>2593536.06</v>
      </c>
      <c r="F35" s="1">
        <f>775701.93+11741499.66</f>
        <v>12517201.59</v>
      </c>
      <c r="G35" s="1">
        <f>5062505.42+500+700+3100</f>
        <v>5066805.42</v>
      </c>
      <c r="H35" s="1">
        <v>3658615.1</v>
      </c>
      <c r="I35" s="1">
        <v>1792750.02</v>
      </c>
      <c r="J35" s="1">
        <v>5968512.6799999997</v>
      </c>
      <c r="K35" s="1">
        <v>1955177.78</v>
      </c>
      <c r="L35" s="1">
        <f>133000+255150+89050+2697063.13+3490+7832+87084</f>
        <v>3272669.13</v>
      </c>
      <c r="M35" s="1">
        <v>0</v>
      </c>
      <c r="N35" s="1">
        <v>0</v>
      </c>
      <c r="O35" s="1">
        <v>0</v>
      </c>
      <c r="P35" s="17">
        <f t="shared" si="7"/>
        <v>36825267.780000001</v>
      </c>
    </row>
    <row r="36" spans="1:16">
      <c r="A36" s="43" t="s">
        <v>43</v>
      </c>
      <c r="B36" s="31">
        <v>0</v>
      </c>
      <c r="C36" s="10"/>
      <c r="D36" s="1"/>
      <c r="E36" s="1">
        <v>0</v>
      </c>
      <c r="F36" s="1">
        <v>0</v>
      </c>
      <c r="G36" s="1"/>
      <c r="H36" s="1"/>
      <c r="I36" s="1">
        <v>0</v>
      </c>
      <c r="J36" s="1">
        <v>0</v>
      </c>
      <c r="K36" s="1">
        <v>0</v>
      </c>
      <c r="L36" s="1">
        <v>0</v>
      </c>
      <c r="M36" s="1"/>
      <c r="N36" s="1"/>
      <c r="O36" s="1"/>
      <c r="P36" s="17">
        <f t="shared" si="7"/>
        <v>0</v>
      </c>
    </row>
    <row r="37" spans="1:16">
      <c r="A37" s="43" t="s">
        <v>44</v>
      </c>
      <c r="B37" s="31">
        <v>518492228</v>
      </c>
      <c r="C37" s="10"/>
      <c r="D37" s="1">
        <f>5000.84+87200+2199.99+15800.32+4380</f>
        <v>114581.15</v>
      </c>
      <c r="E37" s="1">
        <v>5174183.78</v>
      </c>
      <c r="F37" s="1">
        <f>113598.6+1034788.1+15291536.06+374467.1+624302.75+22278.4+22974.6</f>
        <v>17483945.609999999</v>
      </c>
      <c r="G37" s="1">
        <f>20355009.27+5509.99+2204.99+1856.4</f>
        <v>20364580.649999995</v>
      </c>
      <c r="H37" s="1">
        <v>7670379.0899999999</v>
      </c>
      <c r="I37" s="1">
        <v>32840943.07</v>
      </c>
      <c r="J37" s="1">
        <v>21288231.440000001</v>
      </c>
      <c r="K37" s="1">
        <v>13886394.93</v>
      </c>
      <c r="L37" s="1">
        <f>650767.64+1942688.11+26937381.08+773303.89+524102.36+1215285.78+28084</f>
        <v>32071612.859999999</v>
      </c>
      <c r="M37" s="1">
        <v>0</v>
      </c>
      <c r="N37" s="1">
        <v>0</v>
      </c>
      <c r="O37" s="1">
        <v>0</v>
      </c>
      <c r="P37" s="17">
        <f t="shared" si="7"/>
        <v>150894852.57999998</v>
      </c>
    </row>
    <row r="38" spans="1:16">
      <c r="A38" s="40" t="s">
        <v>45</v>
      </c>
      <c r="B38" s="13">
        <f>B39+B40+B41+B42+B43+B44+B45</f>
        <v>1536300</v>
      </c>
      <c r="C38" s="13"/>
      <c r="D38" s="9">
        <f>SUM(D39:D45)</f>
        <v>0</v>
      </c>
      <c r="E38" s="9">
        <f t="shared" ref="E38:O38" si="8">SUM(E39:E45)</f>
        <v>0</v>
      </c>
      <c r="F38" s="9">
        <f t="shared" si="8"/>
        <v>0</v>
      </c>
      <c r="G38" s="9">
        <f t="shared" si="8"/>
        <v>0</v>
      </c>
      <c r="H38" s="9">
        <f t="shared" si="8"/>
        <v>5000</v>
      </c>
      <c r="I38" s="9">
        <f t="shared" si="8"/>
        <v>100000</v>
      </c>
      <c r="J38" s="9">
        <f t="shared" si="8"/>
        <v>0</v>
      </c>
      <c r="K38" s="9">
        <f t="shared" si="8"/>
        <v>15000</v>
      </c>
      <c r="L38" s="9">
        <f t="shared" si="8"/>
        <v>0</v>
      </c>
      <c r="M38" s="9">
        <f t="shared" si="8"/>
        <v>0</v>
      </c>
      <c r="N38" s="9">
        <f t="shared" si="8"/>
        <v>0</v>
      </c>
      <c r="O38" s="9">
        <f t="shared" si="8"/>
        <v>0</v>
      </c>
      <c r="P38" s="19">
        <f>SUM(P39:P45)</f>
        <v>1656300</v>
      </c>
    </row>
    <row r="39" spans="1:16">
      <c r="A39" s="43" t="s">
        <v>46</v>
      </c>
      <c r="B39" s="31">
        <v>250000</v>
      </c>
      <c r="C39" s="10"/>
      <c r="D39" s="1">
        <v>0</v>
      </c>
      <c r="E39" s="1">
        <v>0</v>
      </c>
      <c r="F39" s="1">
        <v>0</v>
      </c>
      <c r="G39" s="1">
        <v>0</v>
      </c>
      <c r="H39" s="1">
        <v>5000</v>
      </c>
      <c r="I39" s="1">
        <v>100000</v>
      </c>
      <c r="J39" s="1">
        <v>0</v>
      </c>
      <c r="K39" s="1">
        <v>15000</v>
      </c>
      <c r="L39" s="1">
        <v>0</v>
      </c>
      <c r="M39" s="1">
        <v>0</v>
      </c>
      <c r="N39" s="1">
        <v>0</v>
      </c>
      <c r="O39" s="1">
        <v>0</v>
      </c>
      <c r="P39" s="17">
        <f t="shared" ref="P39:P68" si="9">SUM(B39:O39)</f>
        <v>370000</v>
      </c>
    </row>
    <row r="40" spans="1:16">
      <c r="A40" s="43" t="s">
        <v>47</v>
      </c>
      <c r="B40" s="31">
        <v>0</v>
      </c>
      <c r="C40" s="10"/>
      <c r="D40" s="1"/>
      <c r="E40" s="1"/>
      <c r="F40" s="1"/>
      <c r="G40" s="1">
        <v>0</v>
      </c>
      <c r="H40" s="1"/>
      <c r="I40" s="1"/>
      <c r="J40" s="1"/>
      <c r="K40" s="1"/>
      <c r="L40" s="1"/>
      <c r="M40" s="1"/>
      <c r="N40" s="1"/>
      <c r="O40" s="1"/>
      <c r="P40" s="17">
        <f t="shared" si="9"/>
        <v>0</v>
      </c>
    </row>
    <row r="41" spans="1:16">
      <c r="A41" s="43" t="s">
        <v>48</v>
      </c>
      <c r="B41" s="31">
        <v>0</v>
      </c>
      <c r="C41" s="10"/>
      <c r="D41" s="1"/>
      <c r="E41" s="1"/>
      <c r="F41" s="1"/>
      <c r="G41" s="1">
        <v>0</v>
      </c>
      <c r="H41" s="1"/>
      <c r="I41" s="1"/>
      <c r="J41" s="1"/>
      <c r="K41" s="1"/>
      <c r="L41" s="1"/>
      <c r="M41" s="1"/>
      <c r="N41" s="1"/>
      <c r="O41" s="1"/>
      <c r="P41" s="17">
        <f t="shared" si="9"/>
        <v>0</v>
      </c>
    </row>
    <row r="42" spans="1:16">
      <c r="A42" s="43" t="s">
        <v>49</v>
      </c>
      <c r="B42" s="31">
        <v>0</v>
      </c>
      <c r="C42" s="10"/>
      <c r="D42" s="1"/>
      <c r="E42" s="1"/>
      <c r="F42" s="1"/>
      <c r="G42" s="1">
        <v>0</v>
      </c>
      <c r="H42" s="1"/>
      <c r="I42" s="1"/>
      <c r="J42" s="1"/>
      <c r="K42" s="1"/>
      <c r="L42" s="1"/>
      <c r="M42" s="1"/>
      <c r="N42" s="1"/>
      <c r="O42" s="1"/>
      <c r="P42" s="17">
        <f t="shared" si="9"/>
        <v>0</v>
      </c>
    </row>
    <row r="43" spans="1:16">
      <c r="A43" s="43" t="s">
        <v>50</v>
      </c>
      <c r="B43" s="31">
        <v>1286300</v>
      </c>
      <c r="C43" s="10"/>
      <c r="D43" s="1"/>
      <c r="E43" s="1"/>
      <c r="F43" s="1"/>
      <c r="G43" s="1">
        <v>0</v>
      </c>
      <c r="H43" s="1"/>
      <c r="I43" s="1"/>
      <c r="J43" s="1"/>
      <c r="K43" s="1"/>
      <c r="L43" s="1"/>
      <c r="M43" s="1"/>
      <c r="N43" s="1"/>
      <c r="O43" s="1"/>
      <c r="P43" s="17">
        <f t="shared" si="9"/>
        <v>1286300</v>
      </c>
    </row>
    <row r="44" spans="1:16">
      <c r="A44" s="43" t="s">
        <v>51</v>
      </c>
      <c r="B44" s="31">
        <v>0</v>
      </c>
      <c r="C44" s="10"/>
      <c r="D44" s="1"/>
      <c r="E44" s="1"/>
      <c r="F44" s="1"/>
      <c r="G44" s="1">
        <v>0</v>
      </c>
      <c r="H44" s="1"/>
      <c r="I44" s="1"/>
      <c r="J44" s="1"/>
      <c r="K44" s="1"/>
      <c r="L44" s="1"/>
      <c r="M44" s="1"/>
      <c r="N44" s="1"/>
      <c r="O44" s="1"/>
      <c r="P44" s="17">
        <f t="shared" si="9"/>
        <v>0</v>
      </c>
    </row>
    <row r="45" spans="1:16">
      <c r="A45" s="43" t="s">
        <v>52</v>
      </c>
      <c r="B45" s="31">
        <v>0</v>
      </c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7">
        <f t="shared" si="9"/>
        <v>0</v>
      </c>
    </row>
    <row r="46" spans="1:16">
      <c r="A46" s="40" t="s">
        <v>53</v>
      </c>
      <c r="B46" s="13">
        <f>B47+B48+B49+B50+B51+B52+B53</f>
        <v>0</v>
      </c>
      <c r="C46" s="8"/>
      <c r="D46" s="9">
        <f>SUM(D47:D53)</f>
        <v>0</v>
      </c>
      <c r="E46" s="9">
        <f t="shared" ref="E46:O46" si="10">SUM(E47:E53)</f>
        <v>0</v>
      </c>
      <c r="F46" s="9">
        <f t="shared" si="10"/>
        <v>0</v>
      </c>
      <c r="G46" s="9">
        <f t="shared" si="10"/>
        <v>0</v>
      </c>
      <c r="H46" s="9">
        <f t="shared" si="10"/>
        <v>0</v>
      </c>
      <c r="I46" s="9">
        <f t="shared" si="10"/>
        <v>0</v>
      </c>
      <c r="J46" s="9">
        <f t="shared" si="10"/>
        <v>0</v>
      </c>
      <c r="K46" s="9">
        <f t="shared" si="10"/>
        <v>0</v>
      </c>
      <c r="L46" s="9">
        <f t="shared" si="10"/>
        <v>0</v>
      </c>
      <c r="M46" s="9">
        <f t="shared" si="10"/>
        <v>0</v>
      </c>
      <c r="N46" s="9">
        <f t="shared" si="10"/>
        <v>0</v>
      </c>
      <c r="O46" s="9">
        <f t="shared" si="10"/>
        <v>0</v>
      </c>
      <c r="P46" s="19">
        <f>SUM(O47:P53)</f>
        <v>0</v>
      </c>
    </row>
    <row r="47" spans="1:16">
      <c r="A47" s="43" t="s">
        <v>54</v>
      </c>
      <c r="B47" s="31"/>
      <c r="C47" s="10"/>
      <c r="D47" s="1"/>
      <c r="E47" s="1"/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7">
        <f>SUM(D47:O47)</f>
        <v>0</v>
      </c>
    </row>
    <row r="48" spans="1:16">
      <c r="A48" s="43" t="s">
        <v>55</v>
      </c>
      <c r="B48" s="31"/>
      <c r="C48" s="10"/>
      <c r="D48" s="1"/>
      <c r="E48" s="1"/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7">
        <f t="shared" ref="P48:P53" si="11">SUM(D48:O48)</f>
        <v>0</v>
      </c>
    </row>
    <row r="49" spans="1:16">
      <c r="A49" s="43" t="s">
        <v>56</v>
      </c>
      <c r="B49" s="31"/>
      <c r="C49" s="10"/>
      <c r="D49" s="1"/>
      <c r="E49" s="1"/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7">
        <f t="shared" si="11"/>
        <v>0</v>
      </c>
    </row>
    <row r="50" spans="1:16">
      <c r="A50" s="43" t="s">
        <v>57</v>
      </c>
      <c r="B50" s="31"/>
      <c r="C50" s="10"/>
      <c r="D50" s="1"/>
      <c r="E50" s="1"/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7">
        <f t="shared" si="11"/>
        <v>0</v>
      </c>
    </row>
    <row r="51" spans="1:16">
      <c r="A51" s="43" t="s">
        <v>58</v>
      </c>
      <c r="B51" s="31"/>
      <c r="C51" s="10"/>
      <c r="D51" s="1"/>
      <c r="E51" s="1"/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7">
        <f t="shared" si="11"/>
        <v>0</v>
      </c>
    </row>
    <row r="52" spans="1:16">
      <c r="A52" s="43" t="s">
        <v>59</v>
      </c>
      <c r="B52" s="31"/>
      <c r="C52" s="10"/>
      <c r="D52" s="1"/>
      <c r="E52" s="1"/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7">
        <f t="shared" si="11"/>
        <v>0</v>
      </c>
    </row>
    <row r="53" spans="1:16">
      <c r="A53" s="43" t="s">
        <v>60</v>
      </c>
      <c r="B53" s="31"/>
      <c r="C53" s="10"/>
      <c r="D53" s="1"/>
      <c r="E53" s="1"/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7">
        <f t="shared" si="11"/>
        <v>0</v>
      </c>
    </row>
    <row r="54" spans="1:16">
      <c r="A54" s="40" t="s">
        <v>61</v>
      </c>
      <c r="B54" s="13">
        <f>B55+B56+B57+B58+B59+B60+B61+B62+B63</f>
        <v>192465508</v>
      </c>
      <c r="C54" s="13">
        <f>C55+C56+C57+C58+C59+C60+C61+C62+C63</f>
        <v>0</v>
      </c>
      <c r="D54" s="9">
        <f>SUM(D55:D63)</f>
        <v>0</v>
      </c>
      <c r="E54" s="9">
        <f t="shared" ref="E54:O54" si="12">SUM(E55:E63)</f>
        <v>879000</v>
      </c>
      <c r="F54" s="9">
        <f t="shared" si="12"/>
        <v>32661242.420000002</v>
      </c>
      <c r="G54" s="9">
        <f t="shared" si="12"/>
        <v>640073.30000000005</v>
      </c>
      <c r="H54" s="9">
        <f t="shared" si="12"/>
        <v>364331.83999999997</v>
      </c>
      <c r="I54" s="9">
        <f t="shared" si="12"/>
        <v>11860774.18</v>
      </c>
      <c r="J54" s="9">
        <f t="shared" si="12"/>
        <v>10682340.800000001</v>
      </c>
      <c r="K54" s="9">
        <f t="shared" si="12"/>
        <v>21669909.400000002</v>
      </c>
      <c r="L54" s="9">
        <f t="shared" si="12"/>
        <v>3742726.77</v>
      </c>
      <c r="M54" s="9">
        <f t="shared" si="12"/>
        <v>0</v>
      </c>
      <c r="N54" s="9">
        <f t="shared" si="12"/>
        <v>0</v>
      </c>
      <c r="O54" s="9">
        <f t="shared" si="12"/>
        <v>0</v>
      </c>
      <c r="P54" s="19">
        <f>SUM(P55:P63)</f>
        <v>82500398.710000008</v>
      </c>
    </row>
    <row r="55" spans="1:16">
      <c r="A55" s="43" t="s">
        <v>62</v>
      </c>
      <c r="B55" s="31">
        <v>32177495</v>
      </c>
      <c r="C55" s="10"/>
      <c r="D55" s="1">
        <v>0</v>
      </c>
      <c r="E55" s="1">
        <v>0</v>
      </c>
      <c r="F55" s="1">
        <v>0</v>
      </c>
      <c r="G55" s="1">
        <v>157500.5</v>
      </c>
      <c r="H55" s="1">
        <v>258131.84</v>
      </c>
      <c r="I55" s="1">
        <v>1275584.18</v>
      </c>
      <c r="J55" s="1">
        <v>20602.8</v>
      </c>
      <c r="K55" s="1">
        <v>3923500</v>
      </c>
      <c r="L55" s="1">
        <f>83393.95+87565.99</f>
        <v>170959.94</v>
      </c>
      <c r="M55" s="1">
        <v>0</v>
      </c>
      <c r="N55" s="1">
        <v>0</v>
      </c>
      <c r="O55" s="1">
        <v>0</v>
      </c>
      <c r="P55" s="17">
        <f>SUM(D55:O55)</f>
        <v>5806279.2600000007</v>
      </c>
    </row>
    <row r="56" spans="1:16">
      <c r="A56" s="43" t="s">
        <v>63</v>
      </c>
      <c r="B56" s="31">
        <v>668530</v>
      </c>
      <c r="C56" s="10"/>
      <c r="D56" s="1"/>
      <c r="E56" s="1"/>
      <c r="F56" s="1"/>
      <c r="G56" s="1"/>
      <c r="H56" s="1"/>
      <c r="I56" s="1">
        <v>83190</v>
      </c>
      <c r="J56" s="1"/>
      <c r="K56" s="1">
        <v>0</v>
      </c>
      <c r="L56" s="1">
        <v>202842</v>
      </c>
      <c r="M56" s="1"/>
      <c r="N56" s="1"/>
      <c r="O56" s="1"/>
      <c r="P56" s="17">
        <f t="shared" ref="P56:P63" si="13">SUM(D56:O56)</f>
        <v>286032</v>
      </c>
    </row>
    <row r="57" spans="1:16">
      <c r="A57" s="43" t="s">
        <v>64</v>
      </c>
      <c r="B57" s="31">
        <v>98876977</v>
      </c>
      <c r="C57" s="10"/>
      <c r="D57" s="1"/>
      <c r="E57" s="1"/>
      <c r="F57" s="1">
        <v>32661242.420000002</v>
      </c>
      <c r="G57" s="1">
        <v>213532.79999999999</v>
      </c>
      <c r="H57" s="1"/>
      <c r="I57" s="1">
        <v>10502000</v>
      </c>
      <c r="J57" s="1">
        <v>10661738</v>
      </c>
      <c r="K57" s="1">
        <v>16651593.6</v>
      </c>
      <c r="L57" s="1">
        <v>2745003.37</v>
      </c>
      <c r="M57" s="1"/>
      <c r="N57" s="1"/>
      <c r="O57" s="1"/>
      <c r="P57" s="17">
        <f t="shared" si="13"/>
        <v>73435110.189999998</v>
      </c>
    </row>
    <row r="58" spans="1:16">
      <c r="A58" s="43" t="s">
        <v>65</v>
      </c>
      <c r="B58" s="31">
        <v>19727340</v>
      </c>
      <c r="C58" s="10"/>
      <c r="D58" s="1"/>
      <c r="E58" s="1"/>
      <c r="F58" s="1"/>
      <c r="G58" s="1"/>
      <c r="H58" s="1"/>
      <c r="I58" s="1"/>
      <c r="J58" s="1"/>
      <c r="K58" s="1">
        <v>696672</v>
      </c>
      <c r="L58" s="1">
        <v>92040</v>
      </c>
      <c r="M58" s="1"/>
      <c r="N58" s="1"/>
      <c r="O58" s="1"/>
      <c r="P58" s="17">
        <f t="shared" si="13"/>
        <v>788712</v>
      </c>
    </row>
    <row r="59" spans="1:16">
      <c r="A59" s="43" t="s">
        <v>66</v>
      </c>
      <c r="B59" s="31">
        <v>22415166</v>
      </c>
      <c r="C59" s="10"/>
      <c r="D59" s="1"/>
      <c r="E59" s="1">
        <v>879000</v>
      </c>
      <c r="F59" s="1"/>
      <c r="G59" s="1">
        <v>269040</v>
      </c>
      <c r="H59" s="1">
        <v>106200</v>
      </c>
      <c r="I59" s="1"/>
      <c r="J59" s="1"/>
      <c r="K59" s="1">
        <v>398143.8</v>
      </c>
      <c r="L59" s="1">
        <f>132424.32+30680</f>
        <v>163104.32000000001</v>
      </c>
      <c r="M59" s="1"/>
      <c r="N59" s="1"/>
      <c r="O59" s="1"/>
      <c r="P59" s="17">
        <f t="shared" si="13"/>
        <v>1815488.12</v>
      </c>
    </row>
    <row r="60" spans="1:16">
      <c r="A60" s="43" t="s">
        <v>67</v>
      </c>
      <c r="B60" s="31">
        <v>600000</v>
      </c>
      <c r="C60" s="10"/>
      <c r="D60" s="1"/>
      <c r="E60" s="1"/>
      <c r="F60" s="1"/>
      <c r="G60" s="1"/>
      <c r="H60" s="1"/>
      <c r="I60" s="1"/>
      <c r="J60" s="1"/>
      <c r="K60" s="1"/>
      <c r="L60" s="1">
        <v>368777.14</v>
      </c>
      <c r="M60" s="1"/>
      <c r="N60" s="1"/>
      <c r="O60" s="1"/>
      <c r="P60" s="17">
        <f t="shared" si="13"/>
        <v>368777.14</v>
      </c>
    </row>
    <row r="61" spans="1:16">
      <c r="A61" s="43" t="s">
        <v>68</v>
      </c>
      <c r="B61" s="31">
        <v>0</v>
      </c>
      <c r="C61" s="10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7">
        <f t="shared" si="13"/>
        <v>0</v>
      </c>
    </row>
    <row r="62" spans="1:16">
      <c r="A62" s="43" t="s">
        <v>69</v>
      </c>
      <c r="B62" s="31">
        <v>18000000</v>
      </c>
      <c r="C62" s="10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7">
        <f t="shared" si="13"/>
        <v>0</v>
      </c>
    </row>
    <row r="63" spans="1:16">
      <c r="A63" s="43" t="s">
        <v>70</v>
      </c>
      <c r="B63" s="31">
        <v>0</v>
      </c>
      <c r="C63" s="10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7">
        <f t="shared" si="13"/>
        <v>0</v>
      </c>
    </row>
    <row r="64" spans="1:16">
      <c r="A64" s="40" t="s">
        <v>71</v>
      </c>
      <c r="B64" s="8"/>
      <c r="C64" s="8"/>
      <c r="D64" s="9">
        <f>SUM(D65:D68)</f>
        <v>0</v>
      </c>
      <c r="E64" s="9">
        <f t="shared" ref="E64:O64" si="14">SUM(E65:E68)</f>
        <v>0</v>
      </c>
      <c r="F64" s="9">
        <f t="shared" si="14"/>
        <v>0</v>
      </c>
      <c r="G64" s="9">
        <f t="shared" si="14"/>
        <v>0</v>
      </c>
      <c r="H64" s="9">
        <f t="shared" si="14"/>
        <v>0</v>
      </c>
      <c r="I64" s="9">
        <f t="shared" si="14"/>
        <v>0</v>
      </c>
      <c r="J64" s="9">
        <f t="shared" si="14"/>
        <v>0</v>
      </c>
      <c r="K64" s="9">
        <f t="shared" si="14"/>
        <v>0</v>
      </c>
      <c r="L64" s="9">
        <f t="shared" si="14"/>
        <v>0</v>
      </c>
      <c r="M64" s="9">
        <f t="shared" si="14"/>
        <v>0</v>
      </c>
      <c r="N64" s="9">
        <f t="shared" si="14"/>
        <v>0</v>
      </c>
      <c r="O64" s="9">
        <f t="shared" si="14"/>
        <v>0</v>
      </c>
      <c r="P64" s="19">
        <f>SUM(D64:O64)</f>
        <v>0</v>
      </c>
    </row>
    <row r="65" spans="1:17">
      <c r="A65" s="43" t="s">
        <v>72</v>
      </c>
      <c r="B65" s="10"/>
      <c r="C65" s="10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7">
        <f t="shared" si="9"/>
        <v>0</v>
      </c>
    </row>
    <row r="66" spans="1:17">
      <c r="A66" s="43" t="s">
        <v>73</v>
      </c>
      <c r="B66" s="10">
        <f t="shared" ref="B66:B68" si="15">SUM(D66:O66)</f>
        <v>0</v>
      </c>
      <c r="C66" s="10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7">
        <f t="shared" si="9"/>
        <v>0</v>
      </c>
    </row>
    <row r="67" spans="1:17">
      <c r="A67" s="43" t="s">
        <v>74</v>
      </c>
      <c r="B67" s="10">
        <f t="shared" si="15"/>
        <v>0</v>
      </c>
      <c r="C67" s="10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7">
        <f t="shared" si="9"/>
        <v>0</v>
      </c>
    </row>
    <row r="68" spans="1:17">
      <c r="A68" s="43" t="s">
        <v>75</v>
      </c>
      <c r="B68" s="10">
        <f t="shared" si="15"/>
        <v>0</v>
      </c>
      <c r="C68" s="10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7">
        <f t="shared" si="9"/>
        <v>0</v>
      </c>
    </row>
    <row r="69" spans="1:17">
      <c r="A69" s="40" t="s">
        <v>76</v>
      </c>
      <c r="B69" s="8">
        <f>SUM(D69:O69)</f>
        <v>0</v>
      </c>
      <c r="C69" s="8"/>
      <c r="D69" s="9">
        <f>SUM(D70:D71)</f>
        <v>0</v>
      </c>
      <c r="E69" s="9">
        <f t="shared" ref="E69:P69" si="16">SUM(E70:E71)</f>
        <v>0</v>
      </c>
      <c r="F69" s="9">
        <f t="shared" si="16"/>
        <v>0</v>
      </c>
      <c r="G69" s="9">
        <f t="shared" si="16"/>
        <v>0</v>
      </c>
      <c r="H69" s="9">
        <f t="shared" si="16"/>
        <v>0</v>
      </c>
      <c r="I69" s="9">
        <f t="shared" si="16"/>
        <v>0</v>
      </c>
      <c r="J69" s="9">
        <f t="shared" si="16"/>
        <v>0</v>
      </c>
      <c r="K69" s="9">
        <f t="shared" si="16"/>
        <v>0</v>
      </c>
      <c r="L69" s="9">
        <f t="shared" si="16"/>
        <v>0</v>
      </c>
      <c r="M69" s="9">
        <f t="shared" si="16"/>
        <v>0</v>
      </c>
      <c r="N69" s="9">
        <f t="shared" si="16"/>
        <v>0</v>
      </c>
      <c r="O69" s="9">
        <f t="shared" si="16"/>
        <v>0</v>
      </c>
      <c r="P69" s="9">
        <f t="shared" si="16"/>
        <v>0</v>
      </c>
    </row>
    <row r="70" spans="1:17">
      <c r="A70" s="43" t="s">
        <v>77</v>
      </c>
      <c r="B70" s="10">
        <f t="shared" ref="B70:B71" si="17">SUM(D70:O70)</f>
        <v>0</v>
      </c>
      <c r="C70" s="10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7"/>
    </row>
    <row r="71" spans="1:17">
      <c r="A71" s="43" t="s">
        <v>78</v>
      </c>
      <c r="B71" s="10">
        <f t="shared" si="17"/>
        <v>0</v>
      </c>
      <c r="C71" s="10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7"/>
    </row>
    <row r="72" spans="1:17">
      <c r="A72" s="40" t="s">
        <v>79</v>
      </c>
      <c r="B72" s="8">
        <f>SUM(D72:O72)</f>
        <v>0</v>
      </c>
      <c r="C72" s="8"/>
      <c r="D72" s="9">
        <f>SUM(D73:D75)</f>
        <v>0</v>
      </c>
      <c r="E72" s="9">
        <f t="shared" ref="E72:P72" si="18">SUM(E73:E75)</f>
        <v>0</v>
      </c>
      <c r="F72" s="9">
        <f t="shared" si="18"/>
        <v>0</v>
      </c>
      <c r="G72" s="9">
        <f t="shared" si="18"/>
        <v>0</v>
      </c>
      <c r="H72" s="9">
        <f t="shared" si="18"/>
        <v>0</v>
      </c>
      <c r="I72" s="9">
        <f t="shared" si="18"/>
        <v>0</v>
      </c>
      <c r="J72" s="9">
        <f t="shared" si="18"/>
        <v>0</v>
      </c>
      <c r="K72" s="9">
        <f t="shared" si="18"/>
        <v>0</v>
      </c>
      <c r="L72" s="9">
        <f t="shared" si="18"/>
        <v>0</v>
      </c>
      <c r="M72" s="9">
        <f t="shared" si="18"/>
        <v>0</v>
      </c>
      <c r="N72" s="9">
        <f t="shared" si="18"/>
        <v>0</v>
      </c>
      <c r="O72" s="9">
        <f t="shared" si="18"/>
        <v>0</v>
      </c>
      <c r="P72" s="9">
        <f t="shared" si="18"/>
        <v>0</v>
      </c>
    </row>
    <row r="73" spans="1:17">
      <c r="A73" s="43" t="s">
        <v>80</v>
      </c>
      <c r="B73" s="10">
        <f t="shared" ref="B73:B75" si="19">SUM(D73:O73)</f>
        <v>0</v>
      </c>
      <c r="C73" s="10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7"/>
    </row>
    <row r="74" spans="1:17">
      <c r="A74" s="43" t="s">
        <v>81</v>
      </c>
      <c r="B74" s="10">
        <f t="shared" si="19"/>
        <v>0</v>
      </c>
      <c r="C74" s="10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7"/>
    </row>
    <row r="75" spans="1:17">
      <c r="A75" s="43" t="s">
        <v>82</v>
      </c>
      <c r="B75" s="10">
        <f t="shared" si="19"/>
        <v>0</v>
      </c>
      <c r="C75" s="10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7"/>
    </row>
    <row r="76" spans="1:17">
      <c r="A76" s="41" t="s">
        <v>83</v>
      </c>
      <c r="B76" s="7">
        <f>B12+B18+B28+B38+B46+B54+B64+B69+B72</f>
        <v>2116920478</v>
      </c>
      <c r="C76" s="7">
        <f>C12+C18+C28+C38+C46+C54+C64+C69+C72</f>
        <v>0</v>
      </c>
      <c r="D76" s="7">
        <f>D12+D18+D28+D38+D46+D54+D64+D69+D72</f>
        <v>31204931.529999997</v>
      </c>
      <c r="E76" s="7">
        <f t="shared" ref="E76:P76" si="20">E12+E18+E28+E38+E46+E54+E64+E69+E72</f>
        <v>48683287.68</v>
      </c>
      <c r="F76" s="7">
        <f t="shared" si="20"/>
        <v>112976078.68000001</v>
      </c>
      <c r="G76" s="7">
        <f t="shared" si="20"/>
        <v>112367497.05400001</v>
      </c>
      <c r="H76" s="7">
        <f t="shared" si="20"/>
        <v>62238479.960000001</v>
      </c>
      <c r="I76" s="7">
        <f t="shared" si="20"/>
        <v>87532232.280000001</v>
      </c>
      <c r="J76" s="7">
        <f t="shared" si="20"/>
        <v>81413442.209999993</v>
      </c>
      <c r="K76" s="7">
        <f t="shared" si="20"/>
        <v>107510136.51000002</v>
      </c>
      <c r="L76" s="7">
        <f t="shared" si="20"/>
        <v>120073350.96999998</v>
      </c>
      <c r="M76" s="7">
        <f t="shared" si="20"/>
        <v>0</v>
      </c>
      <c r="N76" s="7">
        <f t="shared" si="20"/>
        <v>0</v>
      </c>
      <c r="O76" s="7">
        <f t="shared" si="20"/>
        <v>0</v>
      </c>
      <c r="P76" s="7">
        <f t="shared" si="20"/>
        <v>765535736.87400007</v>
      </c>
      <c r="Q76" s="20"/>
    </row>
    <row r="77" spans="1:17">
      <c r="A77" s="42" t="s">
        <v>84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7">
        <f>SUM(D77:O77)</f>
        <v>0</v>
      </c>
    </row>
    <row r="78" spans="1:17">
      <c r="A78" s="42" t="s">
        <v>85</v>
      </c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7">
        <f t="shared" ref="P78:P86" si="21">SUM(D78:O78)</f>
        <v>0</v>
      </c>
    </row>
    <row r="79" spans="1:17">
      <c r="A79" s="43" t="s">
        <v>86</v>
      </c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7">
        <f t="shared" si="21"/>
        <v>0</v>
      </c>
    </row>
    <row r="80" spans="1:17">
      <c r="A80" s="43" t="s">
        <v>87</v>
      </c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7">
        <f t="shared" si="21"/>
        <v>0</v>
      </c>
    </row>
    <row r="81" spans="1:16">
      <c r="A81" s="42" t="s">
        <v>88</v>
      </c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7">
        <f t="shared" si="21"/>
        <v>0</v>
      </c>
    </row>
    <row r="82" spans="1:16">
      <c r="A82" s="43" t="s">
        <v>89</v>
      </c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7">
        <f t="shared" si="21"/>
        <v>0</v>
      </c>
    </row>
    <row r="83" spans="1:16">
      <c r="A83" s="43" t="s">
        <v>90</v>
      </c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7">
        <f t="shared" si="21"/>
        <v>0</v>
      </c>
    </row>
    <row r="84" spans="1:16">
      <c r="A84" s="42" t="s">
        <v>91</v>
      </c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7">
        <f t="shared" si="21"/>
        <v>0</v>
      </c>
    </row>
    <row r="85" spans="1:16">
      <c r="A85" s="43" t="s">
        <v>92</v>
      </c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7">
        <f t="shared" si="21"/>
        <v>0</v>
      </c>
    </row>
    <row r="86" spans="1:16">
      <c r="A86" s="14" t="s">
        <v>93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8">
        <f t="shared" si="21"/>
        <v>0</v>
      </c>
    </row>
    <row r="87" spans="1:1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7"/>
    </row>
    <row r="88" spans="1:16">
      <c r="A88" s="30" t="s">
        <v>94</v>
      </c>
      <c r="B88" s="44">
        <f>B76+B86</f>
        <v>2116920478</v>
      </c>
      <c r="C88" s="44">
        <f>C76+C86</f>
        <v>0</v>
      </c>
      <c r="D88" s="44">
        <f t="shared" ref="D88:O88" si="22">D76+D86</f>
        <v>31204931.529999997</v>
      </c>
      <c r="E88" s="44">
        <f t="shared" si="22"/>
        <v>48683287.68</v>
      </c>
      <c r="F88" s="44">
        <f t="shared" si="22"/>
        <v>112976078.68000001</v>
      </c>
      <c r="G88" s="44">
        <f t="shared" si="22"/>
        <v>112367497.05400001</v>
      </c>
      <c r="H88" s="44">
        <f t="shared" si="22"/>
        <v>62238479.960000001</v>
      </c>
      <c r="I88" s="45">
        <f t="shared" si="22"/>
        <v>87532232.280000001</v>
      </c>
      <c r="J88" s="44">
        <f t="shared" si="22"/>
        <v>81413442.209999993</v>
      </c>
      <c r="K88" s="44">
        <f t="shared" si="22"/>
        <v>107510136.51000002</v>
      </c>
      <c r="L88" s="6">
        <f t="shared" si="22"/>
        <v>120073350.96999998</v>
      </c>
      <c r="M88" s="6">
        <f t="shared" si="22"/>
        <v>0</v>
      </c>
      <c r="N88" s="6">
        <f t="shared" si="22"/>
        <v>0</v>
      </c>
      <c r="O88" s="6">
        <f t="shared" si="22"/>
        <v>0</v>
      </c>
      <c r="P88" s="44">
        <f>P76+P86</f>
        <v>765535736.87400007</v>
      </c>
    </row>
    <row r="92" spans="1:16">
      <c r="A92" s="33" t="s">
        <v>95</v>
      </c>
    </row>
    <row r="93" spans="1:16">
      <c r="A93" s="32" t="s">
        <v>96</v>
      </c>
    </row>
    <row r="94" spans="1:16">
      <c r="A94" s="33" t="s">
        <v>97</v>
      </c>
    </row>
    <row r="95" spans="1:16">
      <c r="A95" s="34" t="s">
        <v>98</v>
      </c>
    </row>
    <row r="96" spans="1:16">
      <c r="A96" s="32" t="s">
        <v>99</v>
      </c>
    </row>
    <row r="97" spans="1:7">
      <c r="A97" s="33" t="s">
        <v>100</v>
      </c>
    </row>
    <row r="98" spans="1:7">
      <c r="A98" s="34" t="s">
        <v>101</v>
      </c>
    </row>
    <row r="99" spans="1:7">
      <c r="A99" s="34" t="s">
        <v>102</v>
      </c>
    </row>
    <row r="100" spans="1:7">
      <c r="A100" s="34" t="s">
        <v>103</v>
      </c>
    </row>
    <row r="101" spans="1:7">
      <c r="A101" s="32" t="s">
        <v>104</v>
      </c>
    </row>
    <row r="109" spans="1:7">
      <c r="A109" s="35" t="s">
        <v>105</v>
      </c>
      <c r="B109" s="11"/>
      <c r="C109" s="11"/>
      <c r="D109" s="11"/>
      <c r="E109" s="37" t="s">
        <v>106</v>
      </c>
      <c r="F109" s="37" t="s">
        <v>107</v>
      </c>
      <c r="G109" s="37"/>
    </row>
    <row r="110" spans="1:7">
      <c r="A110" s="36" t="s">
        <v>108</v>
      </c>
      <c r="B110" s="11"/>
      <c r="C110" s="11"/>
      <c r="D110" s="12"/>
      <c r="E110" s="38"/>
      <c r="F110" s="36" t="s">
        <v>109</v>
      </c>
      <c r="G110" s="38"/>
    </row>
  </sheetData>
  <sheetProtection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/>
  <cp:revision/>
  <dcterms:created xsi:type="dcterms:W3CDTF">2018-04-17T18:57:16Z</dcterms:created>
  <dcterms:modified xsi:type="dcterms:W3CDTF">2022-10-06T12:39:27Z</dcterms:modified>
  <cp:category/>
  <cp:contentStatus/>
</cp:coreProperties>
</file>