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DAC72B7B-E189-476A-98F4-93DAC6D04F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JECUCION SEPTIEMBRE-2024 (OAI)" sheetId="19" r:id="rId1"/>
  </sheets>
  <externalReferences>
    <externalReference r:id="rId2"/>
    <externalReference r:id="rId3"/>
  </externalReferences>
  <definedNames>
    <definedName name="_xlnm.Print_Area" localSheetId="0">'EJECUCION SEPTIEMBRE-2024 (OAI)'!$A$1:$P$113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9" l="1"/>
  <c r="L13" i="19"/>
  <c r="K17" i="19" l="1"/>
  <c r="K13" i="19" l="1"/>
  <c r="K55" i="19"/>
  <c r="K37" i="19"/>
  <c r="K35" i="19"/>
  <c r="K31" i="19"/>
  <c r="K26" i="19"/>
  <c r="K25" i="19"/>
  <c r="K23" i="19"/>
  <c r="K14" i="19"/>
  <c r="J37" i="19" l="1"/>
  <c r="J35" i="19"/>
  <c r="J34" i="19"/>
  <c r="J31" i="19"/>
  <c r="J26" i="19"/>
  <c r="J25" i="19"/>
  <c r="J23" i="19"/>
  <c r="J19" i="19"/>
  <c r="J38" i="19"/>
  <c r="J17" i="19"/>
  <c r="J13" i="19"/>
  <c r="I63" i="19"/>
  <c r="I62" i="19"/>
  <c r="I61" i="19"/>
  <c r="I60" i="19"/>
  <c r="I59" i="19"/>
  <c r="I58" i="19"/>
  <c r="I57" i="19"/>
  <c r="I56" i="19"/>
  <c r="I55" i="19"/>
  <c r="I37" i="19"/>
  <c r="I36" i="19"/>
  <c r="I35" i="19"/>
  <c r="I34" i="19"/>
  <c r="I33" i="19"/>
  <c r="I32" i="19"/>
  <c r="I31" i="19"/>
  <c r="I30" i="19"/>
  <c r="I29" i="19"/>
  <c r="I27" i="19"/>
  <c r="I26" i="19"/>
  <c r="I25" i="19"/>
  <c r="I24" i="19"/>
  <c r="I23" i="19"/>
  <c r="I22" i="19"/>
  <c r="I21" i="19"/>
  <c r="I20" i="19"/>
  <c r="I19" i="19"/>
  <c r="I17" i="19"/>
  <c r="I14" i="19"/>
  <c r="I13" i="19"/>
  <c r="H57" i="19" l="1"/>
  <c r="H37" i="19"/>
  <c r="H32" i="19"/>
  <c r="H29" i="19"/>
  <c r="H26" i="19"/>
  <c r="H25" i="19"/>
  <c r="H17" i="19"/>
  <c r="H14" i="19"/>
  <c r="H13" i="19"/>
  <c r="C28" i="19" l="1"/>
  <c r="G13" i="19"/>
  <c r="C18" i="19"/>
  <c r="C12" i="19"/>
  <c r="C72" i="19"/>
  <c r="C69" i="19"/>
  <c r="C64" i="19"/>
  <c r="C54" i="19"/>
  <c r="C46" i="19"/>
  <c r="C38" i="19"/>
  <c r="G14" i="19"/>
  <c r="F17" i="19"/>
  <c r="F14" i="19"/>
  <c r="F13" i="19"/>
  <c r="C76" i="19" l="1"/>
  <c r="C88" i="19" s="1"/>
  <c r="C11" i="19"/>
  <c r="E59" i="19"/>
  <c r="E57" i="19"/>
  <c r="E55" i="19"/>
  <c r="E37" i="19"/>
  <c r="E36" i="19"/>
  <c r="E35" i="19"/>
  <c r="E34" i="19"/>
  <c r="E33" i="19"/>
  <c r="E32" i="19"/>
  <c r="E30" i="19"/>
  <c r="E29" i="19"/>
  <c r="E27" i="19"/>
  <c r="E26" i="19"/>
  <c r="E25" i="19"/>
  <c r="E24" i="19"/>
  <c r="E23" i="19"/>
  <c r="E17" i="19"/>
  <c r="E14" i="19"/>
  <c r="E13" i="19"/>
  <c r="B37" i="19" l="1"/>
  <c r="B17" i="19"/>
  <c r="B14" i="19"/>
  <c r="B13" i="19"/>
  <c r="D17" i="19"/>
  <c r="D14" i="19"/>
  <c r="D13" i="19"/>
  <c r="P63" i="19" l="1"/>
  <c r="P62" i="19"/>
  <c r="P61" i="19"/>
  <c r="P60" i="19"/>
  <c r="P58" i="19"/>
  <c r="P57" i="19"/>
  <c r="P56" i="19"/>
  <c r="P45" i="19"/>
  <c r="P44" i="19"/>
  <c r="P43" i="19"/>
  <c r="P42" i="19"/>
  <c r="P41" i="19"/>
  <c r="P40" i="19"/>
  <c r="P39" i="19"/>
  <c r="P36" i="19"/>
  <c r="P32" i="19"/>
  <c r="P29" i="19"/>
  <c r="P27" i="19"/>
  <c r="P24" i="19"/>
  <c r="P21" i="19"/>
  <c r="P20" i="19"/>
  <c r="P19" i="19"/>
  <c r="P16" i="19"/>
  <c r="P15" i="19"/>
  <c r="P38" i="19" l="1"/>
  <c r="P35" i="19"/>
  <c r="P26" i="19"/>
  <c r="P25" i="19"/>
  <c r="P37" i="19" l="1"/>
  <c r="P34" i="19"/>
  <c r="P33" i="19"/>
  <c r="P30" i="19"/>
  <c r="P23" i="19"/>
  <c r="P22" i="19"/>
  <c r="P59" i="19" l="1"/>
  <c r="P55" i="19"/>
  <c r="P31" i="19"/>
  <c r="P17" i="19" l="1"/>
  <c r="P14" i="19"/>
  <c r="P13" i="19"/>
  <c r="B32" i="19"/>
  <c r="P12" i="19" l="1"/>
  <c r="O12" i="19"/>
  <c r="F18" i="19" l="1"/>
  <c r="P53" i="19" l="1"/>
  <c r="P52" i="19"/>
  <c r="P51" i="19"/>
  <c r="P50" i="19"/>
  <c r="P49" i="19"/>
  <c r="P48" i="19"/>
  <c r="P47" i="19"/>
  <c r="P85" i="19"/>
  <c r="P84" i="19"/>
  <c r="P83" i="19"/>
  <c r="P82" i="19"/>
  <c r="P81" i="19"/>
  <c r="P80" i="19"/>
  <c r="P79" i="19"/>
  <c r="P78" i="19"/>
  <c r="P77" i="19"/>
  <c r="B54" i="19"/>
  <c r="B46" i="19"/>
  <c r="B38" i="19"/>
  <c r="B28" i="19"/>
  <c r="B18" i="19"/>
  <c r="B12" i="19"/>
  <c r="P46" i="19" l="1"/>
  <c r="P54" i="19"/>
  <c r="P69" i="19"/>
  <c r="P72" i="19"/>
  <c r="D86" i="19"/>
  <c r="P86" i="19" s="1"/>
  <c r="B75" i="19" l="1"/>
  <c r="B74" i="19"/>
  <c r="B73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B71" i="19"/>
  <c r="B70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B68" i="19"/>
  <c r="P68" i="19" s="1"/>
  <c r="B67" i="19"/>
  <c r="P67" i="19" s="1"/>
  <c r="B66" i="19"/>
  <c r="P66" i="19" s="1"/>
  <c r="P65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O46" i="19"/>
  <c r="N46" i="19"/>
  <c r="M46" i="19"/>
  <c r="L46" i="19"/>
  <c r="K46" i="19"/>
  <c r="J46" i="19"/>
  <c r="I46" i="19"/>
  <c r="H46" i="19"/>
  <c r="G46" i="19"/>
  <c r="F46" i="19"/>
  <c r="E46" i="19"/>
  <c r="D46" i="19"/>
  <c r="O38" i="19"/>
  <c r="N38" i="19"/>
  <c r="M38" i="19"/>
  <c r="L38" i="19"/>
  <c r="K38" i="19"/>
  <c r="I38" i="19"/>
  <c r="H38" i="19"/>
  <c r="G38" i="19"/>
  <c r="F38" i="19"/>
  <c r="E38" i="19"/>
  <c r="D38" i="19"/>
  <c r="O28" i="19"/>
  <c r="N28" i="19"/>
  <c r="M28" i="19"/>
  <c r="L28" i="19"/>
  <c r="K28" i="19"/>
  <c r="J28" i="19"/>
  <c r="I28" i="19"/>
  <c r="H28" i="19"/>
  <c r="G28" i="19"/>
  <c r="F28" i="19"/>
  <c r="E28" i="19"/>
  <c r="P18" i="19"/>
  <c r="O18" i="19"/>
  <c r="N18" i="19"/>
  <c r="M18" i="19"/>
  <c r="L18" i="19"/>
  <c r="K18" i="19"/>
  <c r="J18" i="19"/>
  <c r="I18" i="19"/>
  <c r="H18" i="19"/>
  <c r="G18" i="19"/>
  <c r="E18" i="19"/>
  <c r="N12" i="19"/>
  <c r="M12" i="19"/>
  <c r="L12" i="19"/>
  <c r="K12" i="19"/>
  <c r="J12" i="19"/>
  <c r="I12" i="19"/>
  <c r="H12" i="19"/>
  <c r="G12" i="19"/>
  <c r="F12" i="19"/>
  <c r="E12" i="19"/>
  <c r="D12" i="19"/>
  <c r="O11" i="19" l="1"/>
  <c r="N11" i="19"/>
  <c r="L11" i="19"/>
  <c r="M11" i="19"/>
  <c r="D28" i="19"/>
  <c r="P28" i="19" s="1"/>
  <c r="B72" i="19"/>
  <c r="P64" i="19"/>
  <c r="F11" i="19"/>
  <c r="E11" i="19"/>
  <c r="D18" i="19"/>
  <c r="K76" i="19"/>
  <c r="K88" i="19" s="1"/>
  <c r="K11" i="19"/>
  <c r="J76" i="19"/>
  <c r="J88" i="19" s="1"/>
  <c r="J11" i="19"/>
  <c r="I11" i="19"/>
  <c r="H11" i="19"/>
  <c r="L76" i="19"/>
  <c r="L88" i="19" s="1"/>
  <c r="M76" i="19"/>
  <c r="M88" i="19" s="1"/>
  <c r="G11" i="19"/>
  <c r="O76" i="19"/>
  <c r="O88" i="19" s="1"/>
  <c r="N76" i="19"/>
  <c r="N88" i="19" s="1"/>
  <c r="B69" i="19"/>
  <c r="I76" i="19"/>
  <c r="I88" i="19" s="1"/>
  <c r="H76" i="19"/>
  <c r="H88" i="19" s="1"/>
  <c r="G76" i="19"/>
  <c r="G88" i="19" s="1"/>
  <c r="F76" i="19"/>
  <c r="F88" i="19" s="1"/>
  <c r="E76" i="19"/>
  <c r="E88" i="19" s="1"/>
  <c r="D76" i="19" l="1"/>
  <c r="D88" i="19" s="1"/>
  <c r="D11" i="19"/>
  <c r="P11" i="19" s="1"/>
  <c r="B76" i="19"/>
  <c r="B88" i="19" s="1"/>
  <c r="B11" i="19"/>
  <c r="P76" i="19" l="1"/>
  <c r="P88" i="19" s="1"/>
</calcChain>
</file>

<file path=xl/sharedStrings.xml><?xml version="1.0" encoding="utf-8"?>
<sst xmlns="http://schemas.openxmlformats.org/spreadsheetml/2006/main" count="108" uniqueCount="108">
  <si>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</si>
  <si>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</si>
  <si>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</si>
  <si>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</si>
  <si>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</si>
  <si>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</si>
  <si>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</si>
  <si>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</si>
  <si>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</si>
  <si>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</si>
  <si>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</si>
  <si>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</si>
  <si>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</si>
  <si>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</si>
  <si>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</si>
  <si>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</si>
  <si>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</si>
  <si>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</si>
  <si>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</si>
  <si>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</si>
  <si>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</si>
  <si>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</si>
  <si>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</si>
  <si>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</si>
  <si>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</si>
  <si>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</si>
  <si>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</si>
  <si>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</si>
  <si>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</si>
  <si>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</si>
  <si>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</si>
  <si>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</si>
  <si>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</si>
  <si>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</si>
  <si>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</si>
  <si>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</si>
  <si>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</si>
  <si>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</si>
  <si>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</si>
  <si>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</si>
  <si>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</si>
  <si>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</si>
  <si>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</si>
  <si>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</si>
  <si>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</si>
  <si>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</si>
  <si>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</si>
  <si>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</si>
  <si>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</si>
  <si>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</si>
  <si>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</si>
  <si>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</si>
  <si>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</si>
  <si>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</si>
  <si>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</si>
  <si>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</si>
  <si>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</si>
  <si>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</si>
  <si>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</si>
  <si>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</si>
  <si>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</si>
  <si>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</si>
  <si>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</si>
  <si>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</si>
  <si>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</si>
  <si>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</si>
  <si>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</si>
  <si>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</si>
  <si>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</si>
  <si>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</si>
  <si>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</si>
  <si>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</si>
  <si>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</si>
  <si>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</si>
  <si>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</si>
  <si>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</si>
  <si>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</si>
  <si>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</si>
  <si>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</si>
  <si>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</si>
  <si>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</si>
  <si>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</si>
  <si>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</si>
  <si>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</si>
  <si>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</si>
  <si>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</si>
  <si>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</si>
  <si>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</si>
  <si>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</si>
  <si>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</si>
  <si>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SERVICIO NACIONAL DE SALUD</t>
  </si>
  <si>
    <t>Total</t>
  </si>
  <si>
    <t xml:space="preserve">    Encargado de Contabilidad</t>
  </si>
  <si>
    <t>Presupuesto Aprobado</t>
  </si>
  <si>
    <t>Presupuesto Modificado</t>
  </si>
  <si>
    <t>ley de Presupuesto General del Estado.</t>
  </si>
  <si>
    <r>
      <rPr>
        <b/>
        <sz val="11"/>
        <color theme="1"/>
        <rFont val="Calibri"/>
        <family val="2"/>
        <scheme val="minor"/>
      </rPr>
      <t>Presupuesto  aprobado:</t>
    </r>
    <r>
      <rPr>
        <sz val="11"/>
        <color theme="1"/>
        <rFont val="Calibri"/>
        <family val="2"/>
        <scheme val="minor"/>
      </rPr>
      <t xml:space="preserve"> Se refiere al presupuesto aprobado en la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</si>
  <si>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</t>
    </r>
  </si>
  <si>
    <t xml:space="preserve">caso de que el Comgreso Nacional apruebe un presupuesto </t>
  </si>
  <si>
    <t>complementario.</t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</si>
  <si>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 que surgen con la</t>
    </r>
  </si>
  <si>
    <t>obligación de pago por la recepción de conformidad de obras,</t>
  </si>
  <si>
    <t>bienes, y servicios oportunamente contratados o, en los casos de</t>
  </si>
  <si>
    <t>gastos sin contraprestación, por haberse cumplido los requisitos</t>
  </si>
  <si>
    <t>administrativos dispuestos por el reglamento de la presente Ley.</t>
  </si>
  <si>
    <t xml:space="preserve">  Lic. Francisco Villabrille</t>
  </si>
  <si>
    <t>Verificado por:</t>
  </si>
  <si>
    <t>Ejecución Presupuestaria y Aplicacion Financiera Septiembre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</si>
</sst>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Baskerville Old Face"/>
      <family val="1"/>
    </font>
    <font>
      <sz val="10"/>
      <color indexed="8"/>
      <name val="MS Sans Serif"/>
      <family val="2"/>
    </font>
    <font>
      <b/>
      <sz val="11"/>
      <color indexed="8"/>
      <name val="Baskerville Old Face"/>
      <family val="1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</cellStyleXfs>
  <cellXfs count="49">
    <xf numFmtId="0" fontId="0" fillId="0" borderId="0" xfId="0"/>
    <xf numFmtId="43" fontId="0" fillId="0" borderId="1" xfId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4" borderId="1" xfId="1" applyFont="1" applyFill="1" applyBorder="1"/>
    <xf numFmtId="43" fontId="1" fillId="4" borderId="1" xfId="1" applyFont="1" applyFill="1" applyBorder="1" applyAlignment="1">
      <alignment wrapText="1"/>
    </xf>
    <xf numFmtId="43" fontId="1" fillId="0" borderId="1" xfId="1" applyFont="1" applyBorder="1"/>
    <xf numFmtId="0" fontId="6" fillId="0" borderId="0" xfId="2" applyFont="1"/>
    <xf numFmtId="0" fontId="6" fillId="0" borderId="0" xfId="2" applyFont="1" applyAlignment="1">
      <alignment horizontal="center"/>
    </xf>
    <xf numFmtId="43" fontId="1" fillId="4" borderId="1" xfId="1" applyFont="1" applyFill="1" applyBorder="1"/>
    <xf numFmtId="0" fontId="1" fillId="2" borderId="1" xfId="0" applyFont="1" applyFill="1" applyBorder="1" applyAlignment="1">
      <alignment horizontal="left" vertical="center"/>
    </xf>
    <xf numFmtId="43" fontId="0" fillId="0" borderId="1" xfId="1" applyFont="1" applyBorder="1" applyAlignment="1"/>
    <xf numFmtId="0" fontId="3" fillId="0" borderId="0" xfId="0" applyFont="1" applyAlignment="1">
      <alignment horizontal="center" vertical="center" wrapText="1"/>
    </xf>
    <xf numFmtId="43" fontId="0" fillId="0" borderId="1" xfId="0" applyNumberFormat="1" applyBorder="1"/>
    <xf numFmtId="43" fontId="0" fillId="4" borderId="1" xfId="0" applyNumberFormat="1" applyFill="1" applyBorder="1"/>
    <xf numFmtId="43" fontId="1" fillId="4" borderId="1" xfId="0" applyNumberFormat="1" applyFont="1" applyFill="1" applyBorder="1"/>
    <xf numFmtId="43" fontId="0" fillId="0" borderId="0" xfId="0" applyNumberFormat="1"/>
    <xf numFmtId="0" fontId="2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43" fontId="1" fillId="4" borderId="4" xfId="1" applyFont="1" applyFill="1" applyBorder="1"/>
    <xf numFmtId="43" fontId="1" fillId="4" borderId="4" xfId="1" applyFont="1" applyFill="1" applyBorder="1" applyAlignment="1">
      <alignment wrapText="1"/>
    </xf>
    <xf numFmtId="0" fontId="1" fillId="0" borderId="5" xfId="0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1" fillId="0" borderId="7" xfId="0" applyNumberFormat="1" applyFont="1" applyBorder="1"/>
    <xf numFmtId="0" fontId="1" fillId="3" borderId="1" xfId="0" applyFont="1" applyFill="1" applyBorder="1" applyAlignment="1">
      <alignment horizontal="left" vertical="center"/>
    </xf>
    <xf numFmtId="43" fontId="4" fillId="0" borderId="1" xfId="1" applyFont="1" applyBorder="1"/>
    <xf numFmtId="0" fontId="0" fillId="0" borderId="4" xfId="0" applyBorder="1"/>
    <xf numFmtId="0" fontId="0" fillId="0" borderId="3" xfId="0" applyBorder="1"/>
    <xf numFmtId="0" fontId="0" fillId="0" borderId="8" xfId="0" applyBorder="1"/>
    <xf numFmtId="0" fontId="8" fillId="0" borderId="0" xfId="2" applyFont="1" applyAlignment="1">
      <alignment horizontal="center"/>
    </xf>
    <xf numFmtId="0" fontId="8" fillId="0" borderId="2" xfId="2" applyFont="1" applyBorder="1"/>
    <xf numFmtId="0" fontId="8" fillId="0" borderId="0" xfId="2" applyFont="1"/>
    <xf numFmtId="0" fontId="9" fillId="4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1" fillId="6" borderId="1" xfId="0" applyNumberFormat="1" applyFont="1" applyFill="1" applyBorder="1"/>
    <xf numFmtId="43" fontId="1" fillId="0" borderId="1" xfId="1" applyFont="1" applyBorder="1" applyProtection="1">
      <protection locked="0"/>
    </xf>
    <xf numFmtId="43" fontId="0" fillId="0" borderId="1" xfId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4">
    <cellStyle name="Millares" xfId="1" builtinId="3"/>
    <cellStyle name="Millares 2" xfId="3" xr:uid="{00000000-0005-0000-0000-000001000000}"/>
    <cellStyle name="Millares 2 4" xfId="5" xr:uid="{00000000-0005-0000-0000-000002000000}"/>
    <cellStyle name="Normal" xfId="0" builtinId="0"/>
    <cellStyle name="Normal 10" xfId="8" xr:uid="{00000000-0005-0000-0000-000004000000}"/>
    <cellStyle name="Normal 11" xfId="10" xr:uid="{00000000-0005-0000-0000-000005000000}"/>
    <cellStyle name="Normal 12 3" xfId="11" xr:uid="{00000000-0005-0000-0000-000006000000}"/>
    <cellStyle name="Normal 17" xfId="6" xr:uid="{00000000-0005-0000-0000-000007000000}"/>
    <cellStyle name="Normal 2 2" xfId="2" xr:uid="{00000000-0005-0000-0000-000008000000}"/>
    <cellStyle name="Normal 2 4" xfId="7" xr:uid="{00000000-0005-0000-0000-000009000000}"/>
    <cellStyle name="Normal 5" xfId="13" xr:uid="{00000000-0005-0000-0000-00000A000000}"/>
    <cellStyle name="Normal 9" xfId="9" xr:uid="{00000000-0005-0000-0000-00000B000000}"/>
    <cellStyle name="Normal 9 2 2" xfId="12" xr:uid="{00000000-0005-0000-0000-00000C000000}"/>
    <cellStyle name="Porcentaje 2" xfId="4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219247</xdr:rowOff>
    </xdr:from>
    <xdr:to>
      <xdr:col>0</xdr:col>
      <xdr:colOff>3190875</xdr:colOff>
      <xdr:row>4</xdr:row>
      <xdr:rowOff>85725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175" y="219247"/>
          <a:ext cx="2171700" cy="818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1</xdr:row>
      <xdr:rowOff>85725</xdr:rowOff>
    </xdr:from>
    <xdr:to>
      <xdr:col>7</xdr:col>
      <xdr:colOff>180975</xdr:colOff>
      <xdr:row>4</xdr:row>
      <xdr:rowOff>201085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3225" y="323850"/>
          <a:ext cx="3552825" cy="829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914400</xdr:colOff>
      <xdr:row>103</xdr:row>
      <xdr:rowOff>38100</xdr:rowOff>
    </xdr:from>
    <xdr:to>
      <xdr:col>6</xdr:col>
      <xdr:colOff>0</xdr:colOff>
      <xdr:row>107</xdr:row>
      <xdr:rowOff>133350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000" t="12295" r="27778" b="12295"/>
        <a:stretch/>
      </xdr:blipFill>
      <xdr:spPr bwMode="auto">
        <a:xfrm>
          <a:off x="8020050" y="20183475"/>
          <a:ext cx="1095375" cy="857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342912</xdr:colOff>
      <xdr:row>102</xdr:row>
      <xdr:rowOff>85725</xdr:rowOff>
    </xdr:from>
    <xdr:to>
      <xdr:col>3</xdr:col>
      <xdr:colOff>299732</xdr:colOff>
      <xdr:row>112</xdr:row>
      <xdr:rowOff>161290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66" t="19783" r="24741" b="17991"/>
        <a:stretch/>
      </xdr:blipFill>
      <xdr:spPr bwMode="auto">
        <a:xfrm rot="16200000">
          <a:off x="4522164" y="19947573"/>
          <a:ext cx="1980565" cy="21666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266700</xdr:colOff>
      <xdr:row>105</xdr:row>
      <xdr:rowOff>66675</xdr:rowOff>
    </xdr:from>
    <xdr:to>
      <xdr:col>0</xdr:col>
      <xdr:colOff>3305175</xdr:colOff>
      <xdr:row>113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8BFE21-C63B-4A46-9D48-C8AE4AF1E49F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0593050"/>
          <a:ext cx="3038475" cy="1524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FEBRERO-2024%20(SNS).xlsx" TargetMode="External"/><Relationship Id="rId1" Type="http://schemas.openxmlformats.org/officeDocument/2006/relationships/externalLinkPath" Target="EJECUCION%20PRESUPUESTAL%20FEBRERO-2024%20(SNS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rancisco.Villabrile\Desktop\EJECUCION%20PRESUPUESTAL%20JUNIO-2024%20(SNS)%20(version%201)%20(version%201).xlsx" TargetMode="External"/><Relationship Id="rId1" Type="http://schemas.openxmlformats.org/officeDocument/2006/relationships/externalLinkPath" Target="EJECUCION%20PRESUPUESTAL%20JUNIO-2024%20(SNS)%20(version%201)%20(version%20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>
        <row r="31">
          <cell r="G31">
            <v>17444206.559999999</v>
          </cell>
          <cell r="H31">
            <v>9484847.290000001</v>
          </cell>
        </row>
        <row r="55">
          <cell r="G55">
            <v>419618</v>
          </cell>
        </row>
        <row r="83">
          <cell r="G83">
            <v>2683484.5700000003</v>
          </cell>
          <cell r="H83">
            <v>1175982.75</v>
          </cell>
        </row>
        <row r="130">
          <cell r="H130">
            <v>1582840.46</v>
          </cell>
        </row>
        <row r="154">
          <cell r="H154">
            <v>601055.42000000004</v>
          </cell>
        </row>
        <row r="163">
          <cell r="H163">
            <v>791369.86</v>
          </cell>
        </row>
        <row r="185">
          <cell r="H185">
            <v>456746.09</v>
          </cell>
        </row>
        <row r="214">
          <cell r="H214">
            <v>2363343.6</v>
          </cell>
        </row>
        <row r="219">
          <cell r="H219">
            <v>1621394.46</v>
          </cell>
        </row>
        <row r="231">
          <cell r="H231">
            <v>18526</v>
          </cell>
        </row>
        <row r="253">
          <cell r="H253">
            <v>14186731.9</v>
          </cell>
        </row>
        <row r="258">
          <cell r="H258">
            <v>25399.5</v>
          </cell>
        </row>
        <row r="269">
          <cell r="H269">
            <v>1062</v>
          </cell>
        </row>
        <row r="294">
          <cell r="H294">
            <v>12111867.850000001</v>
          </cell>
        </row>
        <row r="312">
          <cell r="H312">
            <v>0</v>
          </cell>
        </row>
        <row r="317">
          <cell r="H317">
            <v>26160218.02</v>
          </cell>
        </row>
        <row r="349">
          <cell r="H349">
            <v>204606.58</v>
          </cell>
        </row>
        <row r="369">
          <cell r="H369">
            <v>5631154.1500000004</v>
          </cell>
        </row>
        <row r="395">
          <cell r="H395">
            <v>57042.75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CION PAGOS EMITIDOS"/>
      <sheetName val="CONS.AÑO 2024 MODIFICADO"/>
      <sheetName val="Hoja1"/>
      <sheetName val="CUENTA T TRANSF CORRIENTE"/>
      <sheetName val="CUENTA T VS"/>
      <sheetName val="CUENTA T NOMINA SNS"/>
      <sheetName val="GASTOS X ATENCION"/>
      <sheetName val="PLANTILLA DE PRESUPUESTO"/>
      <sheetName val="TRANSF CORRIENTE"/>
      <sheetName val="VS"/>
      <sheetName val="OBLIGACIONES PENDIENTE"/>
      <sheetName val="INGRESOS SEGUN ORIGEN"/>
      <sheetName val="MATRIZ DEUDA"/>
      <sheetName val="INGRESOS POR ARS"/>
      <sheetName val="MATRIZ DE GLO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H16">
            <v>5900</v>
          </cell>
        </row>
        <row r="17">
          <cell r="H17">
            <v>13629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193600</v>
          </cell>
        </row>
        <row r="21">
          <cell r="H21">
            <v>632715.18000000005</v>
          </cell>
        </row>
        <row r="22">
          <cell r="H22">
            <v>1550275.06</v>
          </cell>
        </row>
        <row r="23">
          <cell r="H23">
            <v>3285156</v>
          </cell>
        </row>
        <row r="24">
          <cell r="H24">
            <v>1906121.8</v>
          </cell>
        </row>
        <row r="26">
          <cell r="H26">
            <v>251823.89</v>
          </cell>
        </row>
        <row r="27">
          <cell r="H27">
            <v>0</v>
          </cell>
        </row>
        <row r="28">
          <cell r="H28">
            <v>2231085</v>
          </cell>
        </row>
        <row r="29">
          <cell r="H29">
            <v>11963534.98</v>
          </cell>
        </row>
        <row r="30">
          <cell r="H30">
            <v>97425.52</v>
          </cell>
        </row>
        <row r="31">
          <cell r="H31">
            <v>404613.5</v>
          </cell>
        </row>
        <row r="32">
          <cell r="H32">
            <v>3526276.8600000003</v>
          </cell>
        </row>
        <row r="33">
          <cell r="H33">
            <v>0</v>
          </cell>
        </row>
        <row r="34">
          <cell r="H34">
            <v>24891795.019999996</v>
          </cell>
        </row>
        <row r="52">
          <cell r="H52">
            <v>367662.6</v>
          </cell>
        </row>
        <row r="53">
          <cell r="H53">
            <v>0</v>
          </cell>
        </row>
        <row r="54">
          <cell r="H54">
            <v>2446516.25</v>
          </cell>
        </row>
        <row r="55">
          <cell r="H55">
            <v>0</v>
          </cell>
        </row>
        <row r="56">
          <cell r="H56">
            <v>250460.9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0"/>
  <sheetViews>
    <sheetView tabSelected="1" topLeftCell="A45" workbookViewId="0">
      <selection activeCell="B78" sqref="B78"/>
    </sheetView>
  </sheetViews>
  <sheetFormatPr baseColWidth="10" defaultRowHeight="15" x14ac:dyDescent="0.25"/>
  <cols>
    <col min="1" max="1" width="61.28515625" customWidth="1"/>
    <col min="2" max="2" width="16.85546875" customWidth="1"/>
    <col min="3" max="3" width="16.28515625" customWidth="1"/>
    <col min="4" max="4" width="14.85546875" customWidth="1"/>
    <col min="5" max="5" width="15.28515625" customWidth="1"/>
    <col min="6" max="6" width="14.85546875" customWidth="1"/>
    <col min="7" max="7" width="16.42578125" customWidth="1"/>
    <col min="8" max="8" width="15.42578125" customWidth="1"/>
    <col min="9" max="9" width="17.42578125" customWidth="1"/>
    <col min="10" max="10" width="16.140625" customWidth="1"/>
    <col min="11" max="11" width="14.85546875" customWidth="1"/>
    <col min="12" max="12" width="15" customWidth="1"/>
    <col min="13" max="13" width="13.28515625" customWidth="1"/>
    <col min="14" max="14" width="14.85546875" customWidth="1"/>
    <col min="15" max="15" width="14.5703125" customWidth="1"/>
    <col min="16" max="16" width="16.140625" customWidth="1"/>
    <col min="17" max="17" width="15.140625" bestFit="1" customWidth="1"/>
  </cols>
  <sheetData>
    <row r="1" spans="1:16" ht="18.75" x14ac:dyDescent="0.25">
      <c r="A1" s="46" t="s">
        <v>90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6" ht="18.7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6" ht="18.75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6" ht="18.75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6" ht="18.75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16" ht="18.75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6" ht="15.75" x14ac:dyDescent="0.25">
      <c r="A7" s="47" t="s">
        <v>107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</row>
    <row r="8" spans="1:16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</row>
    <row r="10" spans="1:16" ht="32.25" thickBot="1" x14ac:dyDescent="0.3">
      <c r="A10" s="20" t="s">
        <v>0</v>
      </c>
      <c r="B10" s="21" t="s">
        <v>93</v>
      </c>
      <c r="C10" s="21" t="s">
        <v>94</v>
      </c>
      <c r="D10" s="21" t="s">
        <v>78</v>
      </c>
      <c r="E10" s="21" t="s">
        <v>79</v>
      </c>
      <c r="F10" s="21" t="s">
        <v>80</v>
      </c>
      <c r="G10" s="21" t="s">
        <v>81</v>
      </c>
      <c r="H10" s="21" t="s">
        <v>82</v>
      </c>
      <c r="I10" s="21" t="s">
        <v>83</v>
      </c>
      <c r="J10" s="21" t="s">
        <v>84</v>
      </c>
      <c r="K10" s="21" t="s">
        <v>85</v>
      </c>
      <c r="L10" s="21" t="s">
        <v>86</v>
      </c>
      <c r="M10" s="21" t="s">
        <v>87</v>
      </c>
      <c r="N10" s="21" t="s">
        <v>88</v>
      </c>
      <c r="O10" s="21" t="s">
        <v>89</v>
      </c>
      <c r="P10" s="22" t="s">
        <v>91</v>
      </c>
    </row>
    <row r="11" spans="1:16" ht="15.75" thickBot="1" x14ac:dyDescent="0.3">
      <c r="A11" s="25" t="s">
        <v>1</v>
      </c>
      <c r="B11" s="26">
        <f t="shared" ref="B11:F11" si="0">B12+B18+B28+B38+B46+B54+B64+B69+B72</f>
        <v>1856111902</v>
      </c>
      <c r="C11" s="26">
        <f>C12+C18+C28+C38+C46+C54+C64+C69+C72</f>
        <v>0</v>
      </c>
      <c r="D11" s="26">
        <f t="shared" si="0"/>
        <v>61496147.729999997</v>
      </c>
      <c r="E11" s="26">
        <f t="shared" si="0"/>
        <v>97021497.810000017</v>
      </c>
      <c r="F11" s="26">
        <f t="shared" si="0"/>
        <v>54110064.459999993</v>
      </c>
      <c r="G11" s="26">
        <f t="shared" ref="G11:O11" si="1">G12+G18+G28+G38+G46+G54+G64+G69+G72</f>
        <v>112436572.56999998</v>
      </c>
      <c r="H11" s="26">
        <f t="shared" si="1"/>
        <v>107042083.59999999</v>
      </c>
      <c r="I11" s="26">
        <f t="shared" si="1"/>
        <v>101850863.06</v>
      </c>
      <c r="J11" s="26">
        <f t="shared" si="1"/>
        <v>72159721.459999993</v>
      </c>
      <c r="K11" s="26">
        <f t="shared" si="1"/>
        <v>47534849.139999993</v>
      </c>
      <c r="L11" s="26">
        <f t="shared" si="1"/>
        <v>81785738.409999996</v>
      </c>
      <c r="M11" s="26">
        <f t="shared" si="1"/>
        <v>0</v>
      </c>
      <c r="N11" s="26">
        <f t="shared" si="1"/>
        <v>0</v>
      </c>
      <c r="O11" s="26">
        <f t="shared" si="1"/>
        <v>0</v>
      </c>
      <c r="P11" s="27">
        <f>SUM(D11:O11)</f>
        <v>735437538.23999989</v>
      </c>
    </row>
    <row r="12" spans="1:16" x14ac:dyDescent="0.25">
      <c r="A12" s="36" t="s">
        <v>2</v>
      </c>
      <c r="B12" s="23">
        <f>B13+B14+B15+B16+B17</f>
        <v>780579852</v>
      </c>
      <c r="C12" s="23">
        <f>C13+C14+C15+C16+C17</f>
        <v>0</v>
      </c>
      <c r="D12" s="24">
        <f>SUM(D13:D17)</f>
        <v>40373158.93</v>
      </c>
      <c r="E12" s="24">
        <f t="shared" ref="E12:P12" si="2">SUM(E13:E17)</f>
        <v>31208139.170000002</v>
      </c>
      <c r="F12" s="24">
        <f t="shared" si="2"/>
        <v>32858961.710000001</v>
      </c>
      <c r="G12" s="24">
        <f t="shared" si="2"/>
        <v>63783397.619999997</v>
      </c>
      <c r="H12" s="24">
        <f t="shared" si="2"/>
        <v>32224694.159999996</v>
      </c>
      <c r="I12" s="24">
        <f t="shared" si="2"/>
        <v>47832271.5</v>
      </c>
      <c r="J12" s="24">
        <f t="shared" si="2"/>
        <v>30088512.949999999</v>
      </c>
      <c r="K12" s="24">
        <f t="shared" si="2"/>
        <v>32929356.219999999</v>
      </c>
      <c r="L12" s="24">
        <f t="shared" si="2"/>
        <v>30776472.450000003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4">
        <f t="shared" si="2"/>
        <v>342074964.70999998</v>
      </c>
    </row>
    <row r="13" spans="1:16" ht="21.75" customHeight="1" x14ac:dyDescent="0.25">
      <c r="A13" s="40" t="s">
        <v>3</v>
      </c>
      <c r="B13" s="29">
        <f>217174227+240678431</f>
        <v>457852658</v>
      </c>
      <c r="C13" s="9">
        <v>0</v>
      </c>
      <c r="D13" s="1">
        <f>17528169.66+8326143.51</f>
        <v>25854313.170000002</v>
      </c>
      <c r="E13" s="14">
        <f>'[1]CONS.AÑO 2024 MODIFICADO'!$G$31+'[1]CONS.AÑO 2024 MODIFICADO'!$H$31</f>
        <v>26929053.850000001</v>
      </c>
      <c r="F13" s="1">
        <f>8461847.18+17316206.56</f>
        <v>25778053.739999998</v>
      </c>
      <c r="G13" s="1">
        <f>17354206.56+8449154.26+257109.04</f>
        <v>26060469.859999999</v>
      </c>
      <c r="H13" s="1">
        <f>17298843.93+8423407.87</f>
        <v>25722251.799999997</v>
      </c>
      <c r="I13" s="45">
        <f>17279843.93+7465693.53+38000+27272.72+824626.2</f>
        <v>25635436.379999999</v>
      </c>
      <c r="J13" s="1">
        <f>17205195+7420693.53+824626.2+342711.84</f>
        <v>25793226.57</v>
      </c>
      <c r="K13" s="1">
        <f>17173374.41+7421342.45+862626.2+200000</f>
        <v>25657343.059999999</v>
      </c>
      <c r="L13" s="1">
        <f>17265485.07+9156232.06</f>
        <v>26421717.130000003</v>
      </c>
      <c r="M13" s="1"/>
      <c r="N13" s="1"/>
      <c r="O13" s="1"/>
      <c r="P13" s="16">
        <f>D13+E13+F13+G13+H13+I13+J13+K13+L13+M13+N13+O13</f>
        <v>233851865.56</v>
      </c>
    </row>
    <row r="14" spans="1:16" x14ac:dyDescent="0.25">
      <c r="A14" s="40" t="s">
        <v>4</v>
      </c>
      <c r="B14" s="29">
        <f>259670162+6376956</f>
        <v>266047118</v>
      </c>
      <c r="C14" s="9"/>
      <c r="D14" s="1">
        <f>419618+10215352.86</f>
        <v>10634970.859999999</v>
      </c>
      <c r="E14" s="1">
        <f>'[1]CONS.AÑO 2024 MODIFICADO'!$G$55</f>
        <v>419618</v>
      </c>
      <c r="F14" s="1">
        <f>2832294.85+419618</f>
        <v>3251912.85</v>
      </c>
      <c r="G14" s="1">
        <f>502618+33386158.99</f>
        <v>33888776.989999995</v>
      </c>
      <c r="H14" s="1">
        <f>499618+2193817.92</f>
        <v>2693435.92</v>
      </c>
      <c r="I14" s="1">
        <f>499618+17891134.78</f>
        <v>18390752.780000001</v>
      </c>
      <c r="J14" s="1">
        <v>507618</v>
      </c>
      <c r="K14" s="1">
        <f>507618+2981524.1</f>
        <v>3489142.1</v>
      </c>
      <c r="L14" s="1">
        <v>507618</v>
      </c>
      <c r="M14" s="1"/>
      <c r="N14" s="1"/>
      <c r="O14" s="1"/>
      <c r="P14" s="16">
        <f t="shared" ref="P14:P45" si="3">D14+E14+F14+G14+H14+I14+J14+K14+L14+M14+N14+O14</f>
        <v>73783845.5</v>
      </c>
    </row>
    <row r="15" spans="1:16" x14ac:dyDescent="0.25">
      <c r="A15" s="40" t="s">
        <v>36</v>
      </c>
      <c r="B15" s="29">
        <v>0</v>
      </c>
      <c r="C15" s="9"/>
      <c r="D15" s="1">
        <v>0</v>
      </c>
      <c r="E15" s="1">
        <v>0</v>
      </c>
      <c r="F15" s="1">
        <v>0</v>
      </c>
      <c r="G15" s="1"/>
      <c r="H15" s="1"/>
      <c r="I15" s="1"/>
      <c r="J15" s="1">
        <v>0</v>
      </c>
      <c r="K15" s="1"/>
      <c r="L15" s="1"/>
      <c r="M15" s="1"/>
      <c r="N15" s="1"/>
      <c r="O15" s="1"/>
      <c r="P15" s="16">
        <f t="shared" si="3"/>
        <v>0</v>
      </c>
    </row>
    <row r="16" spans="1:16" x14ac:dyDescent="0.25">
      <c r="A16" s="40" t="s">
        <v>5</v>
      </c>
      <c r="B16" s="29">
        <v>0</v>
      </c>
      <c r="C16" s="9"/>
      <c r="D16" s="1">
        <v>0</v>
      </c>
      <c r="E16" s="1">
        <v>0</v>
      </c>
      <c r="F16" s="1">
        <v>0</v>
      </c>
      <c r="G16" s="1"/>
      <c r="H16" s="1"/>
      <c r="I16" s="1"/>
      <c r="J16" s="1">
        <v>0</v>
      </c>
      <c r="K16" s="1"/>
      <c r="L16" s="1"/>
      <c r="M16" s="1"/>
      <c r="N16" s="1"/>
      <c r="O16" s="1"/>
      <c r="P16" s="16">
        <f t="shared" si="3"/>
        <v>0</v>
      </c>
    </row>
    <row r="17" spans="1:16" x14ac:dyDescent="0.25">
      <c r="A17" s="40" t="s">
        <v>6</v>
      </c>
      <c r="B17" s="29">
        <f>22569083+34110993</f>
        <v>56680076</v>
      </c>
      <c r="C17" s="9"/>
      <c r="D17" s="1">
        <f>2696049.06+1187825.84</f>
        <v>3883874.9000000004</v>
      </c>
      <c r="E17" s="1">
        <f>'[1]CONS.AÑO 2024 MODIFICADO'!$G$83+'[1]CONS.AÑO 2024 MODIFICADO'!$H$83</f>
        <v>3859467.3200000003</v>
      </c>
      <c r="F17" s="1">
        <f>1165209.75+2663785.37</f>
        <v>3828995.12</v>
      </c>
      <c r="G17" s="1">
        <v>3834150.77</v>
      </c>
      <c r="H17" s="1">
        <f>2661113.26+1147893.18</f>
        <v>3809006.4399999995</v>
      </c>
      <c r="I17" s="1">
        <f>1225140.86+1226868.86+206179.44+88511.19+529317.67+530064.32</f>
        <v>3806082.34</v>
      </c>
      <c r="J17" s="1">
        <f>1745975.42+1748438.11+293254.85</f>
        <v>3787668.3800000004</v>
      </c>
      <c r="K17" s="1">
        <f>1743765.34+1746224.92+292880.8</f>
        <v>3782871.0599999996</v>
      </c>
      <c r="L17" s="1">
        <f>2656086.46+1191050.86</f>
        <v>3847137.3200000003</v>
      </c>
      <c r="M17" s="1"/>
      <c r="N17" s="1"/>
      <c r="O17" s="1"/>
      <c r="P17" s="16">
        <f t="shared" si="3"/>
        <v>34439253.649999991</v>
      </c>
    </row>
    <row r="18" spans="1:16" x14ac:dyDescent="0.25">
      <c r="A18" s="37" t="s">
        <v>7</v>
      </c>
      <c r="B18" s="12">
        <f>B19+B20+B21+B22+B23+B24+B25+B26+B27</f>
        <v>133048989</v>
      </c>
      <c r="C18" s="8">
        <f>C19+C20+C21+C22+C23+C24+C25+C26+C27</f>
        <v>5000000</v>
      </c>
      <c r="D18" s="8">
        <f>SUM(D19:D27)</f>
        <v>2805637.23</v>
      </c>
      <c r="E18" s="8">
        <f t="shared" ref="E18:O18" si="4">SUM(E19:E27)</f>
        <v>5795355.4299999997</v>
      </c>
      <c r="F18" s="8">
        <f>SUM(F19:F27)</f>
        <v>9192092.6899999995</v>
      </c>
      <c r="G18" s="8">
        <f t="shared" si="4"/>
        <v>8195856.8599999994</v>
      </c>
      <c r="H18" s="8">
        <f t="shared" si="4"/>
        <v>9488828.4100000001</v>
      </c>
      <c r="I18" s="8">
        <f t="shared" si="4"/>
        <v>7587397.04</v>
      </c>
      <c r="J18" s="8">
        <f t="shared" si="4"/>
        <v>6504841.7400000002</v>
      </c>
      <c r="K18" s="8">
        <f t="shared" si="4"/>
        <v>3428969.39</v>
      </c>
      <c r="L18" s="8">
        <f t="shared" si="4"/>
        <v>15369685.91</v>
      </c>
      <c r="M18" s="8">
        <f t="shared" si="4"/>
        <v>0</v>
      </c>
      <c r="N18" s="8">
        <f t="shared" si="4"/>
        <v>0</v>
      </c>
      <c r="O18" s="8">
        <f t="shared" si="4"/>
        <v>0</v>
      </c>
      <c r="P18" s="18">
        <f>SUM(P19:P27)</f>
        <v>68368664.700000003</v>
      </c>
    </row>
    <row r="19" spans="1:16" ht="15" customHeight="1" x14ac:dyDescent="0.25">
      <c r="A19" s="40" t="s">
        <v>8</v>
      </c>
      <c r="B19" s="29">
        <v>33851509</v>
      </c>
      <c r="C19" s="9">
        <v>0</v>
      </c>
      <c r="D19" s="1">
        <v>1060481.42</v>
      </c>
      <c r="E19" s="1">
        <v>0</v>
      </c>
      <c r="F19" s="1">
        <v>2060833.44</v>
      </c>
      <c r="G19" s="1">
        <v>3340694.5</v>
      </c>
      <c r="H19" s="1">
        <v>1838832.72</v>
      </c>
      <c r="I19" s="1">
        <f>[2]VS!H16</f>
        <v>5900</v>
      </c>
      <c r="J19" s="1">
        <f>1922559.82+404767.61+370556</f>
        <v>2697883.43</v>
      </c>
      <c r="K19" s="1">
        <v>0</v>
      </c>
      <c r="L19" s="1">
        <v>2675180.92</v>
      </c>
      <c r="M19" s="1"/>
      <c r="N19" s="1"/>
      <c r="O19" s="1"/>
      <c r="P19" s="16">
        <f t="shared" si="3"/>
        <v>13679806.43</v>
      </c>
    </row>
    <row r="20" spans="1:16" x14ac:dyDescent="0.25">
      <c r="A20" s="40" t="s">
        <v>9</v>
      </c>
      <c r="B20" s="29">
        <v>906500</v>
      </c>
      <c r="C20" s="9"/>
      <c r="D20" s="1">
        <v>0</v>
      </c>
      <c r="E20" s="1">
        <v>0</v>
      </c>
      <c r="F20" s="1">
        <v>320</v>
      </c>
      <c r="G20" s="1">
        <v>0</v>
      </c>
      <c r="H20" s="1">
        <v>0</v>
      </c>
      <c r="I20" s="1">
        <f>[2]VS!H17</f>
        <v>13629</v>
      </c>
      <c r="J20" s="1">
        <v>0</v>
      </c>
      <c r="K20" s="1">
        <v>222784</v>
      </c>
      <c r="L20" s="1">
        <v>34692</v>
      </c>
      <c r="M20" s="1"/>
      <c r="N20" s="1"/>
      <c r="O20" s="1"/>
      <c r="P20" s="16">
        <f t="shared" si="3"/>
        <v>271425</v>
      </c>
    </row>
    <row r="21" spans="1:16" x14ac:dyDescent="0.25">
      <c r="A21" s="40" t="s">
        <v>10</v>
      </c>
      <c r="B21" s="29">
        <v>4354346</v>
      </c>
      <c r="C21" s="9">
        <v>-3719130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f>[2]VS!H18</f>
        <v>0</v>
      </c>
      <c r="J21" s="1">
        <v>0</v>
      </c>
      <c r="K21" s="1">
        <v>0</v>
      </c>
      <c r="L21" s="1">
        <v>0</v>
      </c>
      <c r="M21" s="1"/>
      <c r="N21" s="1"/>
      <c r="O21" s="1"/>
      <c r="P21" s="16">
        <f t="shared" si="3"/>
        <v>0</v>
      </c>
    </row>
    <row r="22" spans="1:16" x14ac:dyDescent="0.25">
      <c r="A22" s="40" t="s">
        <v>11</v>
      </c>
      <c r="B22" s="29">
        <v>1547481</v>
      </c>
      <c r="C22" s="9"/>
      <c r="D22" s="1">
        <v>1000</v>
      </c>
      <c r="E22" s="1">
        <v>0</v>
      </c>
      <c r="F22" s="1">
        <v>2000</v>
      </c>
      <c r="G22" s="1">
        <v>99000</v>
      </c>
      <c r="H22" s="1">
        <v>7300</v>
      </c>
      <c r="I22" s="1">
        <f>[2]VS!H19</f>
        <v>0</v>
      </c>
      <c r="J22" s="1">
        <v>0</v>
      </c>
      <c r="K22" s="1">
        <v>16000</v>
      </c>
      <c r="L22" s="1">
        <v>15560</v>
      </c>
      <c r="M22" s="1"/>
      <c r="N22" s="1"/>
      <c r="O22" s="1"/>
      <c r="P22" s="16">
        <f t="shared" si="3"/>
        <v>140860</v>
      </c>
    </row>
    <row r="23" spans="1:16" x14ac:dyDescent="0.25">
      <c r="A23" s="40" t="s">
        <v>12</v>
      </c>
      <c r="B23" s="29">
        <v>8590657</v>
      </c>
      <c r="C23" s="9">
        <v>0</v>
      </c>
      <c r="D23" s="1">
        <v>4500</v>
      </c>
      <c r="E23" s="1">
        <f>'[1]CONS.AÑO 2024 MODIFICADO'!$H$130</f>
        <v>1582840.46</v>
      </c>
      <c r="F23" s="1">
        <v>637056</v>
      </c>
      <c r="G23" s="1">
        <v>0</v>
      </c>
      <c r="H23" s="1">
        <v>283200</v>
      </c>
      <c r="I23" s="1">
        <f>[2]VS!H20</f>
        <v>193600</v>
      </c>
      <c r="J23" s="1">
        <f>20000+353056</f>
        <v>373056</v>
      </c>
      <c r="K23" s="1">
        <f>80000+141600</f>
        <v>221600</v>
      </c>
      <c r="L23" s="1">
        <v>283200</v>
      </c>
      <c r="M23" s="1"/>
      <c r="N23" s="1"/>
      <c r="O23" s="1"/>
      <c r="P23" s="16">
        <f t="shared" si="3"/>
        <v>3579052.46</v>
      </c>
    </row>
    <row r="24" spans="1:16" x14ac:dyDescent="0.25">
      <c r="A24" s="40" t="s">
        <v>13</v>
      </c>
      <c r="B24" s="29">
        <v>22572455</v>
      </c>
      <c r="C24" s="9"/>
      <c r="D24" s="1">
        <v>546594.68000000005</v>
      </c>
      <c r="E24" s="1">
        <f>'[1]CONS.AÑO 2024 MODIFICADO'!$H$154</f>
        <v>601055.42000000004</v>
      </c>
      <c r="F24" s="1">
        <v>721205.82</v>
      </c>
      <c r="G24" s="1">
        <v>1040737.46</v>
      </c>
      <c r="H24" s="1">
        <v>0</v>
      </c>
      <c r="I24" s="1">
        <f>[2]VS!H21</f>
        <v>632715.18000000005</v>
      </c>
      <c r="J24" s="1">
        <v>1071315.25</v>
      </c>
      <c r="K24" s="1">
        <v>0</v>
      </c>
      <c r="L24" s="1">
        <v>658381</v>
      </c>
      <c r="M24" s="1"/>
      <c r="N24" s="1"/>
      <c r="O24" s="1"/>
      <c r="P24" s="16">
        <f t="shared" si="3"/>
        <v>5272004.8100000005</v>
      </c>
    </row>
    <row r="25" spans="1:16" x14ac:dyDescent="0.25">
      <c r="A25" s="40" t="s">
        <v>14</v>
      </c>
      <c r="B25" s="29">
        <v>35884945</v>
      </c>
      <c r="C25" s="9"/>
      <c r="D25" s="1">
        <v>722555.61</v>
      </c>
      <c r="E25" s="1">
        <f>'[1]CONS.AÑO 2024 MODIFICADO'!$H$163</f>
        <v>791369.86</v>
      </c>
      <c r="F25" s="1">
        <v>5165248.0999999996</v>
      </c>
      <c r="G25" s="1">
        <v>3220684.9</v>
      </c>
      <c r="H25" s="1">
        <f>1061334.53+1392408.76</f>
        <v>2453743.29</v>
      </c>
      <c r="I25" s="1">
        <f>[2]VS!H22</f>
        <v>1550275.06</v>
      </c>
      <c r="J25" s="1">
        <f>390344+31506+288678.06+421909+8850</f>
        <v>1141287.06</v>
      </c>
      <c r="K25" s="1">
        <f>180162.99+64640.4+248036+371700</f>
        <v>864539.39</v>
      </c>
      <c r="L25" s="1">
        <v>10649335.960000001</v>
      </c>
      <c r="M25" s="1"/>
      <c r="N25" s="1"/>
      <c r="O25" s="1"/>
      <c r="P25" s="16">
        <f t="shared" si="3"/>
        <v>26559039.23</v>
      </c>
    </row>
    <row r="26" spans="1:16" x14ac:dyDescent="0.25">
      <c r="A26" s="40" t="s">
        <v>15</v>
      </c>
      <c r="B26" s="29">
        <v>13841096</v>
      </c>
      <c r="C26" s="9">
        <v>3719130</v>
      </c>
      <c r="D26" s="1">
        <v>470505.52</v>
      </c>
      <c r="E26" s="1">
        <f>'[1]CONS.AÑO 2024 MODIFICADO'!$H$185</f>
        <v>456746.09</v>
      </c>
      <c r="F26" s="1">
        <v>605429.32999999996</v>
      </c>
      <c r="G26" s="1">
        <v>494740</v>
      </c>
      <c r="H26" s="1">
        <f>2801593+1038072</f>
        <v>3839665</v>
      </c>
      <c r="I26" s="1">
        <f>[2]VS!H23</f>
        <v>3285156</v>
      </c>
      <c r="J26" s="1">
        <f>204140+554600+251340</f>
        <v>1010080</v>
      </c>
      <c r="K26" s="1">
        <f>135700+294840</f>
        <v>430540</v>
      </c>
      <c r="L26" s="1">
        <v>1053336.03</v>
      </c>
      <c r="M26" s="1"/>
      <c r="N26" s="1"/>
      <c r="O26" s="1"/>
      <c r="P26" s="16">
        <f t="shared" si="3"/>
        <v>11646197.969999999</v>
      </c>
    </row>
    <row r="27" spans="1:16" x14ac:dyDescent="0.25">
      <c r="A27" s="40" t="s">
        <v>37</v>
      </c>
      <c r="B27" s="29">
        <v>11500000</v>
      </c>
      <c r="C27" s="44">
        <v>5000000</v>
      </c>
      <c r="D27" s="1">
        <v>0</v>
      </c>
      <c r="E27" s="1">
        <f>'[1]CONS.AÑO 2024 MODIFICADO'!$H$214</f>
        <v>2363343.6</v>
      </c>
      <c r="F27" s="1">
        <v>0</v>
      </c>
      <c r="G27" s="1">
        <v>0</v>
      </c>
      <c r="H27" s="1">
        <v>1066087.3999999999</v>
      </c>
      <c r="I27" s="1">
        <f>[2]VS!H24</f>
        <v>1906121.8</v>
      </c>
      <c r="J27" s="1">
        <v>211220</v>
      </c>
      <c r="K27" s="1">
        <v>1673506</v>
      </c>
      <c r="L27" s="1">
        <v>0</v>
      </c>
      <c r="M27" s="1"/>
      <c r="N27" s="1"/>
      <c r="O27" s="1"/>
      <c r="P27" s="16">
        <f t="shared" si="3"/>
        <v>7220278.7999999998</v>
      </c>
    </row>
    <row r="28" spans="1:16" x14ac:dyDescent="0.25">
      <c r="A28" s="37" t="s">
        <v>16</v>
      </c>
      <c r="B28" s="12">
        <f>B29+B30+B31+B32+B33+B34+B35+B36+B37</f>
        <v>801036123</v>
      </c>
      <c r="C28" s="8">
        <f>C29+C30+C31+C32+C33+C34+C35+C36+C37</f>
        <v>-5000000</v>
      </c>
      <c r="D28" s="8">
        <f>SUM(D29:D37)</f>
        <v>18317351.57</v>
      </c>
      <c r="E28" s="8">
        <f t="shared" ref="E28:N28" si="5">SUM(E29:E37)</f>
        <v>54125199.730000004</v>
      </c>
      <c r="F28" s="8">
        <f t="shared" si="5"/>
        <v>11154712.08</v>
      </c>
      <c r="G28" s="8">
        <f t="shared" si="5"/>
        <v>37593223.129999995</v>
      </c>
      <c r="H28" s="8">
        <f t="shared" si="5"/>
        <v>57171229.980000004</v>
      </c>
      <c r="I28" s="8">
        <f t="shared" si="5"/>
        <v>43366554.769999996</v>
      </c>
      <c r="J28" s="8">
        <f t="shared" si="5"/>
        <v>35226366.769999996</v>
      </c>
      <c r="K28" s="8">
        <f t="shared" si="5"/>
        <v>8506920.1600000001</v>
      </c>
      <c r="L28" s="8">
        <f t="shared" si="5"/>
        <v>35009583.149999999</v>
      </c>
      <c r="M28" s="8">
        <f t="shared" si="5"/>
        <v>0</v>
      </c>
      <c r="N28" s="8">
        <f t="shared" si="5"/>
        <v>0</v>
      </c>
      <c r="O28" s="8">
        <f>SUM(O29:O37)</f>
        <v>0</v>
      </c>
      <c r="P28" s="43">
        <f t="shared" si="3"/>
        <v>300471141.33999997</v>
      </c>
    </row>
    <row r="29" spans="1:16" x14ac:dyDescent="0.25">
      <c r="A29" s="40" t="s">
        <v>17</v>
      </c>
      <c r="B29" s="29">
        <v>25491526</v>
      </c>
      <c r="C29" s="9">
        <v>0</v>
      </c>
      <c r="D29" s="1">
        <v>0</v>
      </c>
      <c r="E29" s="1">
        <f>'[1]CONS.AÑO 2024 MODIFICADO'!$H$219</f>
        <v>1621394.46</v>
      </c>
      <c r="F29" s="1">
        <v>116310</v>
      </c>
      <c r="G29" s="1">
        <v>3366036.2</v>
      </c>
      <c r="H29" s="1">
        <f>5648807.19+3913922.74</f>
        <v>9562729.9299999997</v>
      </c>
      <c r="I29" s="1">
        <f>[2]VS!H26</f>
        <v>251823.89</v>
      </c>
      <c r="J29" s="1">
        <v>251823.89</v>
      </c>
      <c r="K29" s="1">
        <v>1818951.96</v>
      </c>
      <c r="L29" s="1">
        <v>1751919.27</v>
      </c>
      <c r="M29" s="1"/>
      <c r="N29" s="1"/>
      <c r="O29" s="1"/>
      <c r="P29" s="16">
        <f t="shared" si="3"/>
        <v>18740989.600000001</v>
      </c>
    </row>
    <row r="30" spans="1:16" x14ac:dyDescent="0.25">
      <c r="A30" s="40" t="s">
        <v>18</v>
      </c>
      <c r="B30" s="29">
        <v>6000543</v>
      </c>
      <c r="C30" s="9"/>
      <c r="D30" s="1">
        <v>0</v>
      </c>
      <c r="E30" s="1">
        <f>'[1]CONS.AÑO 2024 MODIFICADO'!$H$231</f>
        <v>18526</v>
      </c>
      <c r="F30" s="1">
        <v>0</v>
      </c>
      <c r="G30" s="1">
        <v>0</v>
      </c>
      <c r="H30" s="1">
        <v>4740</v>
      </c>
      <c r="I30" s="1">
        <f>[2]VS!H27</f>
        <v>0</v>
      </c>
      <c r="J30" s="1">
        <v>511530</v>
      </c>
      <c r="K30" s="1">
        <v>0</v>
      </c>
      <c r="L30" s="1">
        <v>0</v>
      </c>
      <c r="M30" s="1"/>
      <c r="N30" s="1"/>
      <c r="O30" s="1"/>
      <c r="P30" s="16">
        <f t="shared" si="3"/>
        <v>534796</v>
      </c>
    </row>
    <row r="31" spans="1:16" x14ac:dyDescent="0.25">
      <c r="A31" s="40" t="s">
        <v>19</v>
      </c>
      <c r="B31" s="29">
        <v>5716102</v>
      </c>
      <c r="C31" s="9">
        <v>0</v>
      </c>
      <c r="D31" s="1">
        <v>942489.59999999998</v>
      </c>
      <c r="E31" s="1">
        <v>0</v>
      </c>
      <c r="F31" s="1">
        <v>0</v>
      </c>
      <c r="G31" s="1">
        <v>869129</v>
      </c>
      <c r="H31" s="1">
        <v>12949.32</v>
      </c>
      <c r="I31" s="1">
        <f>[2]VS!H28</f>
        <v>2231085</v>
      </c>
      <c r="J31" s="1">
        <f>607747.2+124796.8</f>
        <v>732544</v>
      </c>
      <c r="K31" s="1">
        <f>80004+171808+174050</f>
        <v>425862</v>
      </c>
      <c r="L31" s="1">
        <v>427605.45</v>
      </c>
      <c r="M31" s="1"/>
      <c r="N31" s="1"/>
      <c r="O31" s="1"/>
      <c r="P31" s="16">
        <f t="shared" si="3"/>
        <v>5641664.3700000001</v>
      </c>
    </row>
    <row r="32" spans="1:16" x14ac:dyDescent="0.25">
      <c r="A32" s="40" t="s">
        <v>20</v>
      </c>
      <c r="B32" s="29">
        <f>130564050+170346050</f>
        <v>300910100</v>
      </c>
      <c r="C32" s="9">
        <v>0</v>
      </c>
      <c r="D32" s="1">
        <v>2132813</v>
      </c>
      <c r="E32" s="1">
        <f>'[1]CONS.AÑO 2024 MODIFICADO'!$H$253</f>
        <v>14186731.9</v>
      </c>
      <c r="F32" s="1">
        <v>2192727.36</v>
      </c>
      <c r="G32" s="1">
        <v>7541888.5999999996</v>
      </c>
      <c r="H32" s="1">
        <f>9059850+8045014.18</f>
        <v>17104864.18</v>
      </c>
      <c r="I32" s="1">
        <f>[2]VS!H29</f>
        <v>11963534.98</v>
      </c>
      <c r="J32" s="1">
        <v>7294211</v>
      </c>
      <c r="K32" s="1">
        <v>843277</v>
      </c>
      <c r="L32" s="1">
        <v>7113212.7999999998</v>
      </c>
      <c r="M32" s="1"/>
      <c r="N32" s="1"/>
      <c r="O32" s="1"/>
      <c r="P32" s="16">
        <f t="shared" si="3"/>
        <v>70373260.819999993</v>
      </c>
    </row>
    <row r="33" spans="1:16" x14ac:dyDescent="0.25">
      <c r="A33" s="40" t="s">
        <v>21</v>
      </c>
      <c r="B33" s="29">
        <v>2238424</v>
      </c>
      <c r="C33" s="9">
        <v>0</v>
      </c>
      <c r="D33" s="1">
        <v>0</v>
      </c>
      <c r="E33" s="1">
        <f>'[1]CONS.AÑO 2024 MODIFICADO'!$H$258</f>
        <v>25399.5</v>
      </c>
      <c r="F33" s="1">
        <v>21800</v>
      </c>
      <c r="G33" s="1">
        <v>0</v>
      </c>
      <c r="H33" s="1">
        <v>462799.64</v>
      </c>
      <c r="I33" s="1">
        <f>[2]VS!H30</f>
        <v>97425.52</v>
      </c>
      <c r="J33" s="1">
        <v>8925.52</v>
      </c>
      <c r="K33" s="1">
        <v>0</v>
      </c>
      <c r="L33" s="1">
        <v>65988.58</v>
      </c>
      <c r="M33" s="1"/>
      <c r="N33" s="1"/>
      <c r="O33" s="1"/>
      <c r="P33" s="16">
        <f t="shared" si="3"/>
        <v>682338.76</v>
      </c>
    </row>
    <row r="34" spans="1:16" x14ac:dyDescent="0.25">
      <c r="A34" s="40" t="s">
        <v>22</v>
      </c>
      <c r="B34" s="29">
        <v>2072158</v>
      </c>
      <c r="C34" s="9">
        <v>0</v>
      </c>
      <c r="D34" s="1">
        <v>0</v>
      </c>
      <c r="E34" s="1">
        <f>'[1]CONS.AÑO 2024 MODIFICADO'!$H$269</f>
        <v>1062</v>
      </c>
      <c r="F34" s="1">
        <v>940.01</v>
      </c>
      <c r="G34" s="1">
        <v>26833.200000000001</v>
      </c>
      <c r="H34" s="1">
        <v>17656</v>
      </c>
      <c r="I34" s="1">
        <f>[2]VS!H31</f>
        <v>404613.5</v>
      </c>
      <c r="J34" s="1">
        <f>300.9+88500+31323.1+284489.5</f>
        <v>404613.5</v>
      </c>
      <c r="K34" s="1">
        <v>0</v>
      </c>
      <c r="L34" s="1">
        <v>192379.37</v>
      </c>
      <c r="M34" s="1"/>
      <c r="N34" s="1"/>
      <c r="O34" s="1"/>
      <c r="P34" s="16">
        <f t="shared" si="3"/>
        <v>1048097.58</v>
      </c>
    </row>
    <row r="35" spans="1:16" x14ac:dyDescent="0.25">
      <c r="A35" s="40" t="s">
        <v>23</v>
      </c>
      <c r="B35" s="29">
        <v>89301280</v>
      </c>
      <c r="C35" s="9">
        <v>0</v>
      </c>
      <c r="D35" s="1">
        <v>1247158.54</v>
      </c>
      <c r="E35" s="1">
        <f>'[1]CONS.AÑO 2024 MODIFICADO'!$H$294</f>
        <v>12111867.850000001</v>
      </c>
      <c r="F35" s="1">
        <v>190200</v>
      </c>
      <c r="G35" s="1">
        <v>3582752.88</v>
      </c>
      <c r="H35" s="1">
        <v>8329008.71</v>
      </c>
      <c r="I35" s="1">
        <f>[2]VS!H32</f>
        <v>3526276.8600000003</v>
      </c>
      <c r="J35" s="1">
        <f>1431916.98+17500+5357.2+67260+247250.66</f>
        <v>1769284.8399999999</v>
      </c>
      <c r="K35" s="1">
        <f>400000+37020</f>
        <v>437020</v>
      </c>
      <c r="L35" s="1">
        <v>8807257.8900000006</v>
      </c>
      <c r="M35" s="1"/>
      <c r="N35" s="1"/>
      <c r="O35" s="1"/>
      <c r="P35" s="16">
        <f t="shared" si="3"/>
        <v>40000827.57</v>
      </c>
    </row>
    <row r="36" spans="1:16" x14ac:dyDescent="0.25">
      <c r="A36" s="40" t="s">
        <v>38</v>
      </c>
      <c r="B36" s="29">
        <v>0</v>
      </c>
      <c r="C36" s="9">
        <v>0</v>
      </c>
      <c r="D36" s="1">
        <v>0</v>
      </c>
      <c r="E36" s="1">
        <f>'[1]CONS.AÑO 2024 MODIFICADO'!$H$312</f>
        <v>0</v>
      </c>
      <c r="F36" s="1">
        <v>0</v>
      </c>
      <c r="G36" s="1">
        <v>0</v>
      </c>
      <c r="H36" s="1">
        <v>0</v>
      </c>
      <c r="I36" s="1">
        <f>[2]VS!H33</f>
        <v>0</v>
      </c>
      <c r="J36" s="1">
        <v>0</v>
      </c>
      <c r="K36" s="1">
        <v>0</v>
      </c>
      <c r="L36" s="1">
        <v>0</v>
      </c>
      <c r="M36" s="1"/>
      <c r="N36" s="1"/>
      <c r="O36" s="1"/>
      <c r="P36" s="16">
        <f t="shared" si="3"/>
        <v>0</v>
      </c>
    </row>
    <row r="37" spans="1:16" x14ac:dyDescent="0.25">
      <c r="A37" s="40" t="s">
        <v>24</v>
      </c>
      <c r="B37" s="29">
        <f>125964050+243341940</f>
        <v>369305990</v>
      </c>
      <c r="C37" s="9">
        <v>-5000000</v>
      </c>
      <c r="D37" s="1">
        <v>13994890.43</v>
      </c>
      <c r="E37" s="1">
        <f>'[1]CONS.AÑO 2024 MODIFICADO'!$H$317</f>
        <v>26160218.02</v>
      </c>
      <c r="F37" s="1">
        <v>8632734.7100000009</v>
      </c>
      <c r="G37" s="1">
        <v>22206583.25</v>
      </c>
      <c r="H37" s="1">
        <f>3544985.44+18131496.76</f>
        <v>21676482.200000003</v>
      </c>
      <c r="I37" s="1">
        <f>[2]VS!H34</f>
        <v>24891795.019999996</v>
      </c>
      <c r="J37" s="1">
        <f>465102.9+22297168.19+1246318.83+146042.7+96819+1982.4</f>
        <v>24253434.02</v>
      </c>
      <c r="K37" s="1">
        <f>524288.16+4457521.04</f>
        <v>4981809.2</v>
      </c>
      <c r="L37" s="1">
        <v>16651219.789999999</v>
      </c>
      <c r="M37" s="1"/>
      <c r="N37" s="1"/>
      <c r="O37" s="1"/>
      <c r="P37" s="16">
        <f t="shared" si="3"/>
        <v>163449166.63999999</v>
      </c>
    </row>
    <row r="38" spans="1:16" x14ac:dyDescent="0.25">
      <c r="A38" s="37" t="s">
        <v>25</v>
      </c>
      <c r="B38" s="12">
        <f>B39+B40+B41+B42+B43+B44+B45</f>
        <v>250000</v>
      </c>
      <c r="C38" s="12">
        <f>C39+C40+C41+C42+C43+C44+C45</f>
        <v>0</v>
      </c>
      <c r="D38" s="8">
        <f>SUM(D39:D45)</f>
        <v>0</v>
      </c>
      <c r="E38" s="8">
        <f t="shared" ref="E38:O38" si="6">SUM(E39:E45)</f>
        <v>0</v>
      </c>
      <c r="F38" s="8">
        <f t="shared" si="6"/>
        <v>174000</v>
      </c>
      <c r="G38" s="8">
        <f t="shared" si="6"/>
        <v>0</v>
      </c>
      <c r="H38" s="8">
        <f t="shared" si="6"/>
        <v>0</v>
      </c>
      <c r="I38" s="8">
        <f t="shared" si="6"/>
        <v>0</v>
      </c>
      <c r="J38" s="8">
        <f t="shared" si="6"/>
        <v>0</v>
      </c>
      <c r="K38" s="8">
        <f t="shared" si="6"/>
        <v>209772</v>
      </c>
      <c r="L38" s="8">
        <f t="shared" si="6"/>
        <v>155636.9</v>
      </c>
      <c r="M38" s="8">
        <f t="shared" si="6"/>
        <v>0</v>
      </c>
      <c r="N38" s="8">
        <f t="shared" si="6"/>
        <v>0</v>
      </c>
      <c r="O38" s="8">
        <f t="shared" si="6"/>
        <v>0</v>
      </c>
      <c r="P38" s="18">
        <f>SUM(P39:PD45)</f>
        <v>539408.9</v>
      </c>
    </row>
    <row r="39" spans="1:16" x14ac:dyDescent="0.25">
      <c r="A39" s="40" t="s">
        <v>26</v>
      </c>
      <c r="B39" s="29">
        <v>250000</v>
      </c>
      <c r="C39" s="9"/>
      <c r="D39" s="1">
        <v>0</v>
      </c>
      <c r="E39" s="1">
        <v>0</v>
      </c>
      <c r="F39" s="1">
        <v>174000</v>
      </c>
      <c r="G39" s="1"/>
      <c r="H39" s="1"/>
      <c r="I39" s="1"/>
      <c r="J39" s="1"/>
      <c r="K39" s="1">
        <v>209772</v>
      </c>
      <c r="L39" s="1">
        <v>155636.9</v>
      </c>
      <c r="M39" s="1"/>
      <c r="N39" s="1"/>
      <c r="O39" s="1"/>
      <c r="P39" s="16">
        <f t="shared" si="3"/>
        <v>539408.9</v>
      </c>
    </row>
    <row r="40" spans="1:16" x14ac:dyDescent="0.25">
      <c r="A40" s="40" t="s">
        <v>39</v>
      </c>
      <c r="B40" s="29">
        <v>0</v>
      </c>
      <c r="C40" s="9"/>
      <c r="D40" s="1"/>
      <c r="E40" s="1"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6">
        <f t="shared" si="3"/>
        <v>0</v>
      </c>
    </row>
    <row r="41" spans="1:16" x14ac:dyDescent="0.25">
      <c r="A41" s="40" t="s">
        <v>40</v>
      </c>
      <c r="B41" s="29">
        <v>0</v>
      </c>
      <c r="C41" s="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6">
        <f t="shared" si="3"/>
        <v>0</v>
      </c>
    </row>
    <row r="42" spans="1:16" x14ac:dyDescent="0.25">
      <c r="A42" s="40" t="s">
        <v>41</v>
      </c>
      <c r="B42" s="29">
        <v>0</v>
      </c>
      <c r="C42" s="9"/>
      <c r="D42" s="1">
        <v>0</v>
      </c>
      <c r="E42" s="1"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6">
        <f t="shared" si="3"/>
        <v>0</v>
      </c>
    </row>
    <row r="43" spans="1:16" x14ac:dyDescent="0.25">
      <c r="A43" s="40" t="s">
        <v>42</v>
      </c>
      <c r="B43" s="29">
        <v>0</v>
      </c>
      <c r="C43" s="9"/>
      <c r="D43" s="1">
        <v>0</v>
      </c>
      <c r="E43" s="1"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6">
        <f t="shared" si="3"/>
        <v>0</v>
      </c>
    </row>
    <row r="44" spans="1:16" x14ac:dyDescent="0.25">
      <c r="A44" s="40" t="s">
        <v>27</v>
      </c>
      <c r="B44" s="29">
        <v>0</v>
      </c>
      <c r="C44" s="9"/>
      <c r="D44" s="1">
        <v>0</v>
      </c>
      <c r="E44" s="1"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6">
        <f t="shared" si="3"/>
        <v>0</v>
      </c>
    </row>
    <row r="45" spans="1:16" x14ac:dyDescent="0.25">
      <c r="A45" s="40" t="s">
        <v>43</v>
      </c>
      <c r="B45" s="29">
        <v>0</v>
      </c>
      <c r="C45" s="9"/>
      <c r="D45" s="1">
        <v>0</v>
      </c>
      <c r="E45" s="1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6">
        <f t="shared" si="3"/>
        <v>0</v>
      </c>
    </row>
    <row r="46" spans="1:16" x14ac:dyDescent="0.25">
      <c r="A46" s="37" t="s">
        <v>44</v>
      </c>
      <c r="B46" s="12">
        <f>B47+B48+B49+B50+B51+B52+B53</f>
        <v>0</v>
      </c>
      <c r="C46" s="7">
        <f>C47+C48+C49+C50+C51+C52+C53</f>
        <v>0</v>
      </c>
      <c r="D46" s="8">
        <f>SUM(D47:D53)</f>
        <v>0</v>
      </c>
      <c r="E46" s="8">
        <f t="shared" ref="E46:O46" si="7">SUM(E47:E53)</f>
        <v>0</v>
      </c>
      <c r="F46" s="8">
        <f t="shared" si="7"/>
        <v>0</v>
      </c>
      <c r="G46" s="8">
        <f t="shared" si="7"/>
        <v>0</v>
      </c>
      <c r="H46" s="8">
        <f t="shared" si="7"/>
        <v>0</v>
      </c>
      <c r="I46" s="8">
        <f t="shared" si="7"/>
        <v>0</v>
      </c>
      <c r="J46" s="8">
        <f t="shared" si="7"/>
        <v>0</v>
      </c>
      <c r="K46" s="8">
        <f t="shared" si="7"/>
        <v>0</v>
      </c>
      <c r="L46" s="8">
        <f t="shared" si="7"/>
        <v>0</v>
      </c>
      <c r="M46" s="8">
        <f t="shared" si="7"/>
        <v>0</v>
      </c>
      <c r="N46" s="8">
        <f t="shared" si="7"/>
        <v>0</v>
      </c>
      <c r="O46" s="8">
        <f t="shared" si="7"/>
        <v>0</v>
      </c>
      <c r="P46" s="17">
        <f>SUM(O47:P53)</f>
        <v>0</v>
      </c>
    </row>
    <row r="47" spans="1:16" x14ac:dyDescent="0.25">
      <c r="A47" s="40" t="s">
        <v>45</v>
      </c>
      <c r="B47" s="29"/>
      <c r="C47" s="9"/>
      <c r="D47" s="1">
        <v>0</v>
      </c>
      <c r="E47" s="1">
        <v>0</v>
      </c>
      <c r="F47" s="1"/>
      <c r="G47" s="1">
        <v>0</v>
      </c>
      <c r="H47" s="1"/>
      <c r="I47" s="1"/>
      <c r="J47" s="1"/>
      <c r="K47" s="1"/>
      <c r="L47" s="1"/>
      <c r="M47" s="1"/>
      <c r="N47" s="1"/>
      <c r="O47" s="1"/>
      <c r="P47" s="16">
        <f>SUM(D47:O47)</f>
        <v>0</v>
      </c>
    </row>
    <row r="48" spans="1:16" x14ac:dyDescent="0.25">
      <c r="A48" s="40" t="s">
        <v>46</v>
      </c>
      <c r="B48" s="29"/>
      <c r="C48" s="9"/>
      <c r="D48" s="1"/>
      <c r="E48" s="1">
        <v>0</v>
      </c>
      <c r="F48" s="1"/>
      <c r="G48" s="1">
        <v>0</v>
      </c>
      <c r="H48" s="1"/>
      <c r="I48" s="1"/>
      <c r="J48" s="1"/>
      <c r="K48" s="1"/>
      <c r="L48" s="1"/>
      <c r="M48" s="1"/>
      <c r="N48" s="1"/>
      <c r="O48" s="1"/>
      <c r="P48" s="16">
        <f t="shared" ref="P48:P63" si="8">SUM(D48:O48)</f>
        <v>0</v>
      </c>
    </row>
    <row r="49" spans="1:16" x14ac:dyDescent="0.25">
      <c r="A49" s="40" t="s">
        <v>47</v>
      </c>
      <c r="B49" s="29"/>
      <c r="C49" s="9"/>
      <c r="D49" s="1"/>
      <c r="E49" s="1">
        <v>0</v>
      </c>
      <c r="F49" s="1"/>
      <c r="G49" s="1">
        <v>0</v>
      </c>
      <c r="H49" s="1"/>
      <c r="I49" s="1"/>
      <c r="J49" s="1"/>
      <c r="K49" s="1"/>
      <c r="L49" s="1"/>
      <c r="M49" s="1"/>
      <c r="N49" s="1"/>
      <c r="O49" s="1"/>
      <c r="P49" s="16">
        <f t="shared" si="8"/>
        <v>0</v>
      </c>
    </row>
    <row r="50" spans="1:16" x14ac:dyDescent="0.25">
      <c r="A50" s="40" t="s">
        <v>48</v>
      </c>
      <c r="B50" s="29"/>
      <c r="C50" s="9"/>
      <c r="D50" s="1"/>
      <c r="E50" s="1">
        <v>0</v>
      </c>
      <c r="F50" s="1"/>
      <c r="G50" s="1">
        <v>0</v>
      </c>
      <c r="H50" s="1"/>
      <c r="I50" s="1"/>
      <c r="J50" s="1"/>
      <c r="K50" s="1"/>
      <c r="L50" s="1"/>
      <c r="M50" s="1"/>
      <c r="N50" s="1"/>
      <c r="O50" s="1"/>
      <c r="P50" s="16">
        <f t="shared" si="8"/>
        <v>0</v>
      </c>
    </row>
    <row r="51" spans="1:16" x14ac:dyDescent="0.25">
      <c r="A51" s="40" t="s">
        <v>49</v>
      </c>
      <c r="B51" s="29"/>
      <c r="C51" s="9"/>
      <c r="D51" s="1"/>
      <c r="E51" s="1">
        <v>0</v>
      </c>
      <c r="F51" s="1"/>
      <c r="G51" s="1">
        <v>0</v>
      </c>
      <c r="H51" s="1"/>
      <c r="I51" s="1"/>
      <c r="J51" s="1"/>
      <c r="K51" s="1"/>
      <c r="L51" s="1"/>
      <c r="M51" s="1"/>
      <c r="N51" s="1"/>
      <c r="O51" s="1"/>
      <c r="P51" s="16">
        <f t="shared" si="8"/>
        <v>0</v>
      </c>
    </row>
    <row r="52" spans="1:16" x14ac:dyDescent="0.25">
      <c r="A52" s="40" t="s">
        <v>50</v>
      </c>
      <c r="B52" s="29"/>
      <c r="C52" s="9"/>
      <c r="D52" s="1"/>
      <c r="E52" s="1">
        <v>0</v>
      </c>
      <c r="F52" s="1"/>
      <c r="G52" s="1">
        <v>0</v>
      </c>
      <c r="H52" s="1"/>
      <c r="I52" s="1"/>
      <c r="J52" s="1"/>
      <c r="K52" s="1"/>
      <c r="L52" s="1"/>
      <c r="M52" s="1"/>
      <c r="N52" s="1"/>
      <c r="O52" s="1"/>
      <c r="P52" s="16">
        <f t="shared" si="8"/>
        <v>0</v>
      </c>
    </row>
    <row r="53" spans="1:16" x14ac:dyDescent="0.25">
      <c r="A53" s="40" t="s">
        <v>51</v>
      </c>
      <c r="B53" s="29"/>
      <c r="C53" s="9">
        <v>0</v>
      </c>
      <c r="D53" s="1"/>
      <c r="E53" s="1">
        <v>0</v>
      </c>
      <c r="F53" s="1"/>
      <c r="G53" s="1">
        <v>0</v>
      </c>
      <c r="H53" s="1"/>
      <c r="I53" s="1"/>
      <c r="J53" s="1"/>
      <c r="K53" s="1"/>
      <c r="L53" s="1"/>
      <c r="M53" s="1"/>
      <c r="N53" s="1"/>
      <c r="O53" s="1"/>
      <c r="P53" s="16">
        <f t="shared" si="8"/>
        <v>0</v>
      </c>
    </row>
    <row r="54" spans="1:16" x14ac:dyDescent="0.25">
      <c r="A54" s="37" t="s">
        <v>28</v>
      </c>
      <c r="B54" s="12">
        <f>B55+B56+B57+B58+B59+B60+B61+B62+B63</f>
        <v>141196938</v>
      </c>
      <c r="C54" s="12">
        <f>C55+C56+C57+C58+C59+C60+C61+C62+C63</f>
        <v>0</v>
      </c>
      <c r="D54" s="8">
        <f>SUM(D55:D63)</f>
        <v>0</v>
      </c>
      <c r="E54" s="8">
        <f t="shared" ref="E54:O54" si="9">SUM(E55:E63)</f>
        <v>5892803.4800000004</v>
      </c>
      <c r="F54" s="8">
        <f t="shared" si="9"/>
        <v>730297.98</v>
      </c>
      <c r="G54" s="8">
        <f t="shared" si="9"/>
        <v>2864094.96</v>
      </c>
      <c r="H54" s="8">
        <f t="shared" si="9"/>
        <v>8157331.0499999998</v>
      </c>
      <c r="I54" s="8">
        <f t="shared" si="9"/>
        <v>3064639.75</v>
      </c>
      <c r="J54" s="8">
        <f t="shared" si="9"/>
        <v>340000</v>
      </c>
      <c r="K54" s="8">
        <f t="shared" si="9"/>
        <v>2459831.37</v>
      </c>
      <c r="L54" s="8">
        <f t="shared" si="9"/>
        <v>474360</v>
      </c>
      <c r="M54" s="8">
        <f t="shared" si="9"/>
        <v>0</v>
      </c>
      <c r="N54" s="8">
        <f t="shared" si="9"/>
        <v>0</v>
      </c>
      <c r="O54" s="8">
        <f t="shared" si="9"/>
        <v>0</v>
      </c>
      <c r="P54" s="18">
        <f>SUM(P55:P63)</f>
        <v>23983358.589999996</v>
      </c>
    </row>
    <row r="55" spans="1:16" ht="15" customHeight="1" x14ac:dyDescent="0.25">
      <c r="A55" s="40" t="s">
        <v>29</v>
      </c>
      <c r="B55" s="29">
        <v>17377495</v>
      </c>
      <c r="C55" s="9">
        <v>0</v>
      </c>
      <c r="D55" s="1"/>
      <c r="E55" s="1">
        <f>'[1]CONS.AÑO 2024 MODIFICADO'!$H$349</f>
        <v>204606.58</v>
      </c>
      <c r="F55" s="1">
        <v>101167.98</v>
      </c>
      <c r="G55" s="1">
        <v>798867.46</v>
      </c>
      <c r="H55" s="1">
        <v>1520064.55</v>
      </c>
      <c r="I55" s="1">
        <f>[2]VS!H52</f>
        <v>367662.6</v>
      </c>
      <c r="J55" s="1">
        <v>0</v>
      </c>
      <c r="K55" s="1">
        <f>3764.2+9550.92</f>
        <v>13315.119999999999</v>
      </c>
      <c r="L55" s="1">
        <v>0</v>
      </c>
      <c r="M55" s="1"/>
      <c r="N55" s="1"/>
      <c r="O55" s="1"/>
      <c r="P55" s="16">
        <f t="shared" si="8"/>
        <v>3005684.2900000005</v>
      </c>
    </row>
    <row r="56" spans="1:16" x14ac:dyDescent="0.25">
      <c r="A56" s="40" t="s">
        <v>30</v>
      </c>
      <c r="B56" s="29">
        <v>5668530</v>
      </c>
      <c r="C56" s="9">
        <v>0</v>
      </c>
      <c r="D56" s="1"/>
      <c r="E56" s="1">
        <v>0</v>
      </c>
      <c r="F56" s="1">
        <v>0</v>
      </c>
      <c r="G56" s="1">
        <v>0</v>
      </c>
      <c r="H56" s="1">
        <v>0</v>
      </c>
      <c r="I56" s="1">
        <f>[2]VS!H53</f>
        <v>0</v>
      </c>
      <c r="J56" s="1"/>
      <c r="K56" s="1">
        <v>0</v>
      </c>
      <c r="L56" s="1">
        <v>0</v>
      </c>
      <c r="M56" s="1"/>
      <c r="N56" s="1"/>
      <c r="O56" s="1"/>
      <c r="P56" s="16">
        <f t="shared" si="8"/>
        <v>0</v>
      </c>
    </row>
    <row r="57" spans="1:16" x14ac:dyDescent="0.25">
      <c r="A57" s="40" t="s">
        <v>31</v>
      </c>
      <c r="B57" s="29">
        <v>98876977</v>
      </c>
      <c r="C57" s="9">
        <v>0</v>
      </c>
      <c r="D57" s="1"/>
      <c r="E57" s="1">
        <f>'[1]CONS.AÑO 2024 MODIFICADO'!$H$369</f>
        <v>5631154.1500000004</v>
      </c>
      <c r="F57" s="1">
        <v>629130</v>
      </c>
      <c r="G57" s="1">
        <v>1159447.5</v>
      </c>
      <c r="H57" s="1">
        <f>611004+5893032.5</f>
        <v>6504036.5</v>
      </c>
      <c r="I57" s="1">
        <f>[2]VS!H54</f>
        <v>2446516.25</v>
      </c>
      <c r="J57" s="1">
        <v>0</v>
      </c>
      <c r="K57" s="1">
        <v>2446516.25</v>
      </c>
      <c r="L57" s="1">
        <v>0</v>
      </c>
      <c r="M57" s="1"/>
      <c r="N57" s="1"/>
      <c r="O57" s="1"/>
      <c r="P57" s="16">
        <f t="shared" si="8"/>
        <v>18816800.649999999</v>
      </c>
    </row>
    <row r="58" spans="1:16" x14ac:dyDescent="0.25">
      <c r="A58" s="40" t="s">
        <v>32</v>
      </c>
      <c r="B58" s="29">
        <v>10227340</v>
      </c>
      <c r="C58" s="9">
        <v>0</v>
      </c>
      <c r="D58" s="1"/>
      <c r="E58" s="1">
        <v>0</v>
      </c>
      <c r="F58" s="1">
        <v>0</v>
      </c>
      <c r="G58" s="1">
        <v>0</v>
      </c>
      <c r="H58" s="1">
        <v>31860</v>
      </c>
      <c r="I58" s="1">
        <f>[2]VS!H55</f>
        <v>0</v>
      </c>
      <c r="J58" s="1"/>
      <c r="K58" s="1"/>
      <c r="L58" s="1">
        <v>0</v>
      </c>
      <c r="M58" s="1"/>
      <c r="N58" s="1"/>
      <c r="O58" s="1"/>
      <c r="P58" s="16">
        <f t="shared" si="8"/>
        <v>31860</v>
      </c>
    </row>
    <row r="59" spans="1:16" x14ac:dyDescent="0.25">
      <c r="A59" s="40" t="s">
        <v>33</v>
      </c>
      <c r="B59" s="29">
        <v>7446596</v>
      </c>
      <c r="C59" s="9">
        <v>0</v>
      </c>
      <c r="D59" s="1"/>
      <c r="E59" s="1">
        <f>'[1]CONS.AÑO 2024 MODIFICADO'!$H$395</f>
        <v>57042.75</v>
      </c>
      <c r="F59" s="1">
        <v>0</v>
      </c>
      <c r="G59" s="1">
        <v>905780</v>
      </c>
      <c r="H59" s="1">
        <v>101370</v>
      </c>
      <c r="I59" s="1">
        <f>[2]VS!H56</f>
        <v>250460.9</v>
      </c>
      <c r="J59" s="1">
        <v>340000</v>
      </c>
      <c r="K59" s="1"/>
      <c r="L59" s="1">
        <v>474360</v>
      </c>
      <c r="M59" s="1"/>
      <c r="N59" s="1"/>
      <c r="O59" s="1"/>
      <c r="P59" s="16">
        <f t="shared" si="8"/>
        <v>2129013.65</v>
      </c>
    </row>
    <row r="60" spans="1:16" x14ac:dyDescent="0.25">
      <c r="A60" s="40" t="s">
        <v>52</v>
      </c>
      <c r="B60" s="29">
        <v>600000</v>
      </c>
      <c r="C60" s="9">
        <v>0</v>
      </c>
      <c r="D60" s="1"/>
      <c r="E60" s="1">
        <v>0</v>
      </c>
      <c r="F60" s="1">
        <v>0</v>
      </c>
      <c r="G60" s="1"/>
      <c r="H60" s="1">
        <v>0</v>
      </c>
      <c r="I60" s="1">
        <f>[2]VS!H57</f>
        <v>0</v>
      </c>
      <c r="J60" s="1"/>
      <c r="K60" s="1"/>
      <c r="L60" s="1">
        <v>0</v>
      </c>
      <c r="M60" s="1"/>
      <c r="N60" s="1"/>
      <c r="O60" s="1"/>
      <c r="P60" s="16">
        <f t="shared" si="8"/>
        <v>0</v>
      </c>
    </row>
    <row r="61" spans="1:16" x14ac:dyDescent="0.25">
      <c r="A61" s="40" t="s">
        <v>53</v>
      </c>
      <c r="B61" s="29">
        <v>0</v>
      </c>
      <c r="C61" s="9">
        <v>0</v>
      </c>
      <c r="D61" s="1"/>
      <c r="E61" s="1">
        <v>0</v>
      </c>
      <c r="F61" s="1">
        <v>0</v>
      </c>
      <c r="G61" s="1"/>
      <c r="H61" s="1">
        <v>0</v>
      </c>
      <c r="I61" s="1">
        <f>[2]VS!H58</f>
        <v>0</v>
      </c>
      <c r="J61" s="1"/>
      <c r="K61" s="1"/>
      <c r="L61" s="1">
        <v>0</v>
      </c>
      <c r="M61" s="1"/>
      <c r="N61" s="1"/>
      <c r="O61" s="1"/>
      <c r="P61" s="16">
        <f t="shared" si="8"/>
        <v>0</v>
      </c>
    </row>
    <row r="62" spans="1:16" x14ac:dyDescent="0.25">
      <c r="A62" s="40" t="s">
        <v>34</v>
      </c>
      <c r="B62" s="29">
        <v>1000000</v>
      </c>
      <c r="C62" s="9">
        <v>0</v>
      </c>
      <c r="D62" s="1"/>
      <c r="E62" s="1">
        <v>0</v>
      </c>
      <c r="F62" s="1">
        <v>0</v>
      </c>
      <c r="G62" s="1"/>
      <c r="H62" s="1">
        <v>0</v>
      </c>
      <c r="I62" s="1">
        <f>[2]VS!H59</f>
        <v>0</v>
      </c>
      <c r="J62" s="1"/>
      <c r="K62" s="1"/>
      <c r="L62" s="1">
        <v>0</v>
      </c>
      <c r="M62" s="1"/>
      <c r="N62" s="1"/>
      <c r="O62" s="1"/>
      <c r="P62" s="16">
        <f t="shared" si="8"/>
        <v>0</v>
      </c>
    </row>
    <row r="63" spans="1:16" x14ac:dyDescent="0.25">
      <c r="A63" s="40" t="s">
        <v>54</v>
      </c>
      <c r="B63" s="29">
        <v>0</v>
      </c>
      <c r="C63" s="9">
        <v>0</v>
      </c>
      <c r="D63" s="1"/>
      <c r="E63" s="1">
        <v>0</v>
      </c>
      <c r="F63" s="1">
        <v>0</v>
      </c>
      <c r="G63" s="1"/>
      <c r="H63" s="1">
        <v>0</v>
      </c>
      <c r="I63" s="1">
        <f>[2]VS!H60</f>
        <v>0</v>
      </c>
      <c r="J63" s="1"/>
      <c r="K63" s="1"/>
      <c r="L63" s="1">
        <v>0</v>
      </c>
      <c r="M63" s="1"/>
      <c r="N63" s="1"/>
      <c r="O63" s="1"/>
      <c r="P63" s="16">
        <f t="shared" si="8"/>
        <v>0</v>
      </c>
    </row>
    <row r="64" spans="1:16" x14ac:dyDescent="0.25">
      <c r="A64" s="37" t="s">
        <v>55</v>
      </c>
      <c r="B64" s="7"/>
      <c r="C64" s="7">
        <f>C65+C66+C67+C68</f>
        <v>0</v>
      </c>
      <c r="D64" s="8">
        <f>SUM(D65:D68)</f>
        <v>0</v>
      </c>
      <c r="E64" s="8">
        <f t="shared" ref="E64:O64" si="10">SUM(E65:E68)</f>
        <v>0</v>
      </c>
      <c r="F64" s="8">
        <f t="shared" si="10"/>
        <v>0</v>
      </c>
      <c r="G64" s="8">
        <f t="shared" si="10"/>
        <v>0</v>
      </c>
      <c r="H64" s="8">
        <f t="shared" si="10"/>
        <v>0</v>
      </c>
      <c r="I64" s="8">
        <f t="shared" si="10"/>
        <v>0</v>
      </c>
      <c r="J64" s="8">
        <f t="shared" si="10"/>
        <v>0</v>
      </c>
      <c r="K64" s="8">
        <f t="shared" si="10"/>
        <v>0</v>
      </c>
      <c r="L64" s="8">
        <f t="shared" si="10"/>
        <v>0</v>
      </c>
      <c r="M64" s="8">
        <f t="shared" si="10"/>
        <v>0</v>
      </c>
      <c r="N64" s="8">
        <f t="shared" si="10"/>
        <v>0</v>
      </c>
      <c r="O64" s="8">
        <f t="shared" si="10"/>
        <v>0</v>
      </c>
      <c r="P64" s="18">
        <f>SUM(D64:O64)</f>
        <v>0</v>
      </c>
    </row>
    <row r="65" spans="1:17" x14ac:dyDescent="0.25">
      <c r="A65" s="40" t="s">
        <v>56</v>
      </c>
      <c r="B65" s="9"/>
      <c r="C65" s="9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6">
        <f t="shared" ref="P65:P68" si="11">SUM(B65:O65)</f>
        <v>0</v>
      </c>
    </row>
    <row r="66" spans="1:17" x14ac:dyDescent="0.25">
      <c r="A66" s="40" t="s">
        <v>57</v>
      </c>
      <c r="B66" s="9">
        <f t="shared" ref="B66:B68" si="12">SUM(D66:O66)</f>
        <v>0</v>
      </c>
      <c r="C66" s="9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6">
        <f t="shared" si="11"/>
        <v>0</v>
      </c>
    </row>
    <row r="67" spans="1:17" x14ac:dyDescent="0.25">
      <c r="A67" s="40" t="s">
        <v>58</v>
      </c>
      <c r="B67" s="9">
        <f t="shared" si="12"/>
        <v>0</v>
      </c>
      <c r="C67" s="9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6">
        <f t="shared" si="11"/>
        <v>0</v>
      </c>
    </row>
    <row r="68" spans="1:17" x14ac:dyDescent="0.25">
      <c r="A68" s="40" t="s">
        <v>59</v>
      </c>
      <c r="B68" s="9">
        <f t="shared" si="12"/>
        <v>0</v>
      </c>
      <c r="C68" s="9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6">
        <f t="shared" si="11"/>
        <v>0</v>
      </c>
    </row>
    <row r="69" spans="1:17" x14ac:dyDescent="0.25">
      <c r="A69" s="37" t="s">
        <v>60</v>
      </c>
      <c r="B69" s="7">
        <f>SUM(D69:O69)</f>
        <v>0</v>
      </c>
      <c r="C69" s="7">
        <f>C70+C71</f>
        <v>0</v>
      </c>
      <c r="D69" s="8">
        <f>SUM(D70:D71)</f>
        <v>0</v>
      </c>
      <c r="E69" s="8">
        <f t="shared" ref="E69:P69" si="13">SUM(E70:E71)</f>
        <v>0</v>
      </c>
      <c r="F69" s="8">
        <f t="shared" si="13"/>
        <v>0</v>
      </c>
      <c r="G69" s="8">
        <f t="shared" si="13"/>
        <v>0</v>
      </c>
      <c r="H69" s="8">
        <f t="shared" si="13"/>
        <v>0</v>
      </c>
      <c r="I69" s="8">
        <f t="shared" si="13"/>
        <v>0</v>
      </c>
      <c r="J69" s="8">
        <f t="shared" si="13"/>
        <v>0</v>
      </c>
      <c r="K69" s="8">
        <f t="shared" si="13"/>
        <v>0</v>
      </c>
      <c r="L69" s="8">
        <f t="shared" si="13"/>
        <v>0</v>
      </c>
      <c r="M69" s="8">
        <f t="shared" si="13"/>
        <v>0</v>
      </c>
      <c r="N69" s="8">
        <f t="shared" si="13"/>
        <v>0</v>
      </c>
      <c r="O69" s="8">
        <f t="shared" si="13"/>
        <v>0</v>
      </c>
      <c r="P69" s="8">
        <f t="shared" si="13"/>
        <v>0</v>
      </c>
    </row>
    <row r="70" spans="1:17" x14ac:dyDescent="0.25">
      <c r="A70" s="40" t="s">
        <v>61</v>
      </c>
      <c r="B70" s="9">
        <f t="shared" ref="B70:B71" si="14">SUM(D70:O70)</f>
        <v>0</v>
      </c>
      <c r="C70" s="9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6"/>
    </row>
    <row r="71" spans="1:17" x14ac:dyDescent="0.25">
      <c r="A71" s="40" t="s">
        <v>62</v>
      </c>
      <c r="B71" s="9">
        <f t="shared" si="14"/>
        <v>0</v>
      </c>
      <c r="C71" s="9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6"/>
    </row>
    <row r="72" spans="1:17" x14ac:dyDescent="0.25">
      <c r="A72" s="37" t="s">
        <v>63</v>
      </c>
      <c r="B72" s="7">
        <f>SUM(D72:O72)</f>
        <v>0</v>
      </c>
      <c r="C72" s="7">
        <f>C73+C74+C75</f>
        <v>0</v>
      </c>
      <c r="D72" s="8">
        <f>SUM(D73:D75)</f>
        <v>0</v>
      </c>
      <c r="E72" s="8">
        <f t="shared" ref="E72:P72" si="15">SUM(E73:E75)</f>
        <v>0</v>
      </c>
      <c r="F72" s="8">
        <f t="shared" si="15"/>
        <v>0</v>
      </c>
      <c r="G72" s="8">
        <f t="shared" si="15"/>
        <v>0</v>
      </c>
      <c r="H72" s="8">
        <f t="shared" si="15"/>
        <v>0</v>
      </c>
      <c r="I72" s="8">
        <f t="shared" si="15"/>
        <v>0</v>
      </c>
      <c r="J72" s="8">
        <f t="shared" si="15"/>
        <v>0</v>
      </c>
      <c r="K72" s="8">
        <f t="shared" si="15"/>
        <v>0</v>
      </c>
      <c r="L72" s="8">
        <f t="shared" si="15"/>
        <v>0</v>
      </c>
      <c r="M72" s="8">
        <f t="shared" si="15"/>
        <v>0</v>
      </c>
      <c r="N72" s="8">
        <f t="shared" si="15"/>
        <v>0</v>
      </c>
      <c r="O72" s="8">
        <f t="shared" si="15"/>
        <v>0</v>
      </c>
      <c r="P72" s="8">
        <f t="shared" si="15"/>
        <v>0</v>
      </c>
    </row>
    <row r="73" spans="1:17" x14ac:dyDescent="0.25">
      <c r="A73" s="40" t="s">
        <v>64</v>
      </c>
      <c r="B73" s="9">
        <f t="shared" ref="B73:B75" si="16">SUM(D73:O73)</f>
        <v>0</v>
      </c>
      <c r="C73" s="9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6"/>
    </row>
    <row r="74" spans="1:17" x14ac:dyDescent="0.25">
      <c r="A74" s="40" t="s">
        <v>65</v>
      </c>
      <c r="B74" s="9">
        <f t="shared" si="16"/>
        <v>0</v>
      </c>
      <c r="C74" s="9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6"/>
    </row>
    <row r="75" spans="1:17" x14ac:dyDescent="0.25">
      <c r="A75" s="40" t="s">
        <v>66</v>
      </c>
      <c r="B75" s="9">
        <f t="shared" si="16"/>
        <v>0</v>
      </c>
      <c r="C75" s="9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6"/>
    </row>
    <row r="76" spans="1:17" x14ac:dyDescent="0.25">
      <c r="A76" s="38" t="s">
        <v>35</v>
      </c>
      <c r="B76" s="6">
        <f>B12+B18+B28+B38+B46+B54+B64+B69+B72</f>
        <v>1856111902</v>
      </c>
      <c r="C76" s="6">
        <f>C12+C18+C28+C38+C46+C54+C64+C69+C72</f>
        <v>0</v>
      </c>
      <c r="D76" s="6">
        <f>D12+D18+D28+D38+D46+D54+D64+D69+D72</f>
        <v>61496147.729999997</v>
      </c>
      <c r="E76" s="6">
        <f t="shared" ref="E76:P76" si="17">E12+E18+E28+E38+E46+E54+E64+E69+E72</f>
        <v>97021497.810000017</v>
      </c>
      <c r="F76" s="6">
        <f t="shared" si="17"/>
        <v>54110064.459999993</v>
      </c>
      <c r="G76" s="6">
        <f t="shared" si="17"/>
        <v>112436572.56999998</v>
      </c>
      <c r="H76" s="6">
        <f t="shared" si="17"/>
        <v>107042083.59999999</v>
      </c>
      <c r="I76" s="6">
        <f t="shared" si="17"/>
        <v>101850863.06</v>
      </c>
      <c r="J76" s="6">
        <f t="shared" si="17"/>
        <v>72159721.459999993</v>
      </c>
      <c r="K76" s="6">
        <f t="shared" si="17"/>
        <v>47534849.139999993</v>
      </c>
      <c r="L76" s="6">
        <f t="shared" si="17"/>
        <v>81785738.409999996</v>
      </c>
      <c r="M76" s="6">
        <f t="shared" si="17"/>
        <v>0</v>
      </c>
      <c r="N76" s="6">
        <f t="shared" si="17"/>
        <v>0</v>
      </c>
      <c r="O76" s="6">
        <f t="shared" si="17"/>
        <v>0</v>
      </c>
      <c r="P76" s="6">
        <f t="shared" si="17"/>
        <v>735437538.24000001</v>
      </c>
      <c r="Q76" s="19"/>
    </row>
    <row r="77" spans="1:17" x14ac:dyDescent="0.25">
      <c r="A77" s="39" t="s">
        <v>67</v>
      </c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6">
        <f>SUM(D77:O77)</f>
        <v>0</v>
      </c>
    </row>
    <row r="78" spans="1:17" x14ac:dyDescent="0.25">
      <c r="A78" s="39" t="s">
        <v>68</v>
      </c>
      <c r="B78" s="2"/>
      <c r="C78" s="2"/>
      <c r="D78" s="4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16">
        <f t="shared" ref="P78:P86" si="18">SUM(D78:O78)</f>
        <v>0</v>
      </c>
    </row>
    <row r="79" spans="1:17" x14ac:dyDescent="0.25">
      <c r="A79" s="40" t="s">
        <v>69</v>
      </c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16">
        <f t="shared" si="18"/>
        <v>0</v>
      </c>
    </row>
    <row r="80" spans="1:17" x14ac:dyDescent="0.25">
      <c r="A80" s="40" t="s">
        <v>70</v>
      </c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16">
        <f t="shared" si="18"/>
        <v>0</v>
      </c>
    </row>
    <row r="81" spans="1:16" x14ac:dyDescent="0.25">
      <c r="A81" s="39" t="s">
        <v>71</v>
      </c>
      <c r="B81" s="2"/>
      <c r="C81" s="2"/>
      <c r="D81" s="4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16">
        <f t="shared" si="18"/>
        <v>0</v>
      </c>
    </row>
    <row r="82" spans="1:16" x14ac:dyDescent="0.25">
      <c r="A82" s="40" t="s">
        <v>72</v>
      </c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16">
        <f t="shared" si="18"/>
        <v>0</v>
      </c>
    </row>
    <row r="83" spans="1:16" x14ac:dyDescent="0.25">
      <c r="A83" s="40" t="s">
        <v>73</v>
      </c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6">
        <f t="shared" si="18"/>
        <v>0</v>
      </c>
    </row>
    <row r="84" spans="1:16" x14ac:dyDescent="0.25">
      <c r="A84" s="39" t="s">
        <v>74</v>
      </c>
      <c r="B84" s="2"/>
      <c r="C84" s="2"/>
      <c r="D84" s="4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6">
        <f t="shared" si="18"/>
        <v>0</v>
      </c>
    </row>
    <row r="85" spans="1:16" x14ac:dyDescent="0.25">
      <c r="A85" s="40" t="s">
        <v>75</v>
      </c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6">
        <f t="shared" si="18"/>
        <v>0</v>
      </c>
    </row>
    <row r="86" spans="1:16" x14ac:dyDescent="0.25">
      <c r="A86" s="13" t="s">
        <v>76</v>
      </c>
      <c r="B86" s="5"/>
      <c r="C86" s="5"/>
      <c r="D86" s="5">
        <f>SUM(D78:D85)</f>
        <v>0</v>
      </c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17">
        <f t="shared" si="18"/>
        <v>0</v>
      </c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6"/>
    </row>
    <row r="88" spans="1:16" x14ac:dyDescent="0.25">
      <c r="A88" s="28" t="s">
        <v>77</v>
      </c>
      <c r="B88" s="41">
        <f>B76+B86</f>
        <v>1856111902</v>
      </c>
      <c r="C88" s="41">
        <f>C76+C86</f>
        <v>0</v>
      </c>
      <c r="D88" s="41">
        <f t="shared" ref="D88:O88" si="19">D76+D86</f>
        <v>61496147.729999997</v>
      </c>
      <c r="E88" s="41">
        <f t="shared" si="19"/>
        <v>97021497.810000017</v>
      </c>
      <c r="F88" s="41">
        <f t="shared" si="19"/>
        <v>54110064.459999993</v>
      </c>
      <c r="G88" s="41">
        <f t="shared" si="19"/>
        <v>112436572.56999998</v>
      </c>
      <c r="H88" s="41">
        <f t="shared" si="19"/>
        <v>107042083.59999999</v>
      </c>
      <c r="I88" s="42">
        <f t="shared" si="19"/>
        <v>101850863.06</v>
      </c>
      <c r="J88" s="41">
        <f t="shared" si="19"/>
        <v>72159721.459999993</v>
      </c>
      <c r="K88" s="41">
        <f t="shared" si="19"/>
        <v>47534849.139999993</v>
      </c>
      <c r="L88" s="41">
        <f t="shared" si="19"/>
        <v>81785738.409999996</v>
      </c>
      <c r="M88" s="41">
        <f t="shared" si="19"/>
        <v>0</v>
      </c>
      <c r="N88" s="41">
        <f t="shared" si="19"/>
        <v>0</v>
      </c>
      <c r="O88" s="41">
        <f t="shared" si="19"/>
        <v>0</v>
      </c>
      <c r="P88" s="41">
        <f>P76+P86</f>
        <v>735437538.24000001</v>
      </c>
    </row>
    <row r="92" spans="1:16" x14ac:dyDescent="0.25">
      <c r="A92" s="31" t="s">
        <v>96</v>
      </c>
    </row>
    <row r="93" spans="1:16" x14ac:dyDescent="0.25">
      <c r="A93" s="30" t="s">
        <v>95</v>
      </c>
    </row>
    <row r="94" spans="1:16" x14ac:dyDescent="0.25">
      <c r="A94" s="31" t="s">
        <v>97</v>
      </c>
    </row>
    <row r="95" spans="1:16" x14ac:dyDescent="0.25">
      <c r="A95" s="32" t="s">
        <v>98</v>
      </c>
    </row>
    <row r="96" spans="1:16" x14ac:dyDescent="0.25">
      <c r="A96" s="30" t="s">
        <v>99</v>
      </c>
    </row>
    <row r="97" spans="1:7" x14ac:dyDescent="0.25">
      <c r="A97" s="31" t="s">
        <v>100</v>
      </c>
    </row>
    <row r="98" spans="1:7" x14ac:dyDescent="0.25">
      <c r="A98" s="32" t="s">
        <v>101</v>
      </c>
    </row>
    <row r="99" spans="1:7" x14ac:dyDescent="0.25">
      <c r="A99" s="32" t="s">
        <v>102</v>
      </c>
    </row>
    <row r="100" spans="1:7" x14ac:dyDescent="0.25">
      <c r="A100" s="32" t="s">
        <v>103</v>
      </c>
    </row>
    <row r="101" spans="1:7" x14ac:dyDescent="0.25">
      <c r="A101" s="30" t="s">
        <v>104</v>
      </c>
    </row>
    <row r="109" spans="1:7" x14ac:dyDescent="0.25">
      <c r="A109" s="33"/>
      <c r="B109" s="10"/>
      <c r="C109" s="10"/>
      <c r="D109" s="10"/>
      <c r="E109" s="34" t="s">
        <v>106</v>
      </c>
      <c r="F109" s="34" t="s">
        <v>105</v>
      </c>
      <c r="G109" s="34"/>
    </row>
    <row r="110" spans="1:7" x14ac:dyDescent="0.25">
      <c r="A110" s="33"/>
      <c r="B110" s="10"/>
      <c r="C110" s="10"/>
      <c r="D110" s="11"/>
      <c r="E110" s="35"/>
      <c r="F110" s="33" t="s">
        <v>92</v>
      </c>
      <c r="G110" s="35"/>
    </row>
  </sheetData>
  <sheetProtection formatCells="0"/>
  <mergeCells count="5">
    <mergeCell ref="A1:O1"/>
    <mergeCell ref="A5:O5"/>
    <mergeCell ref="A6:O6"/>
    <mergeCell ref="A7:O7"/>
    <mergeCell ref="A8:O8"/>
  </mergeCells>
  <pageMargins left="0" right="0" top="0.25" bottom="0.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SEPTIEMBRE-2024 (OAI)</vt:lpstr>
      <vt:lpstr>'EJECUCION SEPTIEMBRE-2024 (OAI)'!Área_de_impresión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Francisco Villabrille</cp:lastModifiedBy>
  <cp:lastPrinted>2024-09-02T13:52:53Z</cp:lastPrinted>
  <dcterms:created xsi:type="dcterms:W3CDTF">2018-04-17T18:57:16Z</dcterms:created>
  <dcterms:modified xsi:type="dcterms:W3CDTF">2024-10-08T17:16:55Z</dcterms:modified>
</cp:coreProperties>
</file>