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5FBB0C69-FA73-4849-B1C3-DD5B42A94C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DICIEMBRE-2024 (OAI)" sheetId="1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'EJECUCION DICIEMBRE-2024 (OAI)'!$A$1:$P$113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19" l="1"/>
  <c r="O62" i="19"/>
  <c r="O61" i="19"/>
  <c r="O60" i="19"/>
  <c r="O59" i="19"/>
  <c r="O58" i="19"/>
  <c r="O57" i="19"/>
  <c r="O56" i="19"/>
  <c r="O55" i="19"/>
  <c r="O37" i="19"/>
  <c r="O36" i="19"/>
  <c r="O35" i="19"/>
  <c r="O34" i="19"/>
  <c r="O33" i="19"/>
  <c r="O32" i="19"/>
  <c r="O31" i="19"/>
  <c r="O30" i="19"/>
  <c r="O29" i="19"/>
  <c r="O27" i="19"/>
  <c r="O26" i="19"/>
  <c r="O25" i="19"/>
  <c r="O24" i="19"/>
  <c r="O23" i="19"/>
  <c r="O22" i="19"/>
  <c r="O21" i="19"/>
  <c r="O20" i="19"/>
  <c r="O19" i="19"/>
  <c r="O17" i="19"/>
  <c r="O14" i="19"/>
  <c r="O13" i="19"/>
  <c r="O16" i="19"/>
  <c r="C57" i="19" l="1"/>
  <c r="N57" i="19"/>
  <c r="N55" i="19"/>
  <c r="N37" i="19"/>
  <c r="N35" i="19"/>
  <c r="N34" i="19"/>
  <c r="N33" i="19"/>
  <c r="N32" i="19"/>
  <c r="N31" i="19"/>
  <c r="N30" i="19"/>
  <c r="N29" i="19"/>
  <c r="N26" i="19"/>
  <c r="N25" i="19"/>
  <c r="N24" i="19"/>
  <c r="N23" i="19"/>
  <c r="N22" i="19"/>
  <c r="N20" i="19"/>
  <c r="N19" i="19"/>
  <c r="N17" i="19"/>
  <c r="N14" i="19"/>
  <c r="N13" i="19"/>
  <c r="M37" i="19" l="1"/>
  <c r="M57" i="19"/>
  <c r="M55" i="19"/>
  <c r="M36" i="19"/>
  <c r="M35" i="19"/>
  <c r="M34" i="19"/>
  <c r="M33" i="19"/>
  <c r="M32" i="19"/>
  <c r="M31" i="19"/>
  <c r="M30" i="19"/>
  <c r="M29" i="19"/>
  <c r="M27" i="19"/>
  <c r="M25" i="19"/>
  <c r="M24" i="19"/>
  <c r="M23" i="19"/>
  <c r="M22" i="19"/>
  <c r="M20" i="19"/>
  <c r="M19" i="19"/>
  <c r="M17" i="19"/>
  <c r="M14" i="19"/>
  <c r="M13" i="19"/>
  <c r="L17" i="19" l="1"/>
  <c r="L13" i="19"/>
  <c r="K17" i="19" l="1"/>
  <c r="K13" i="19" l="1"/>
  <c r="K55" i="19"/>
  <c r="K37" i="19"/>
  <c r="K35" i="19"/>
  <c r="K31" i="19"/>
  <c r="K26" i="19"/>
  <c r="K25" i="19"/>
  <c r="K23" i="19"/>
  <c r="K14" i="19"/>
  <c r="J37" i="19" l="1"/>
  <c r="J35" i="19"/>
  <c r="J34" i="19"/>
  <c r="J31" i="19"/>
  <c r="J26" i="19"/>
  <c r="J25" i="19"/>
  <c r="J23" i="19"/>
  <c r="J19" i="19"/>
  <c r="J38" i="19"/>
  <c r="J17" i="19"/>
  <c r="J13" i="19"/>
  <c r="I63" i="19"/>
  <c r="I62" i="19"/>
  <c r="I61" i="19"/>
  <c r="I60" i="19"/>
  <c r="I59" i="19"/>
  <c r="I58" i="19"/>
  <c r="I57" i="19"/>
  <c r="I56" i="19"/>
  <c r="I55" i="19"/>
  <c r="I37" i="19"/>
  <c r="I36" i="19"/>
  <c r="I35" i="19"/>
  <c r="I34" i="19"/>
  <c r="I33" i="19"/>
  <c r="I32" i="19"/>
  <c r="I31" i="19"/>
  <c r="I30" i="19"/>
  <c r="I29" i="19"/>
  <c r="I27" i="19"/>
  <c r="I26" i="19"/>
  <c r="I25" i="19"/>
  <c r="I24" i="19"/>
  <c r="I23" i="19"/>
  <c r="I22" i="19"/>
  <c r="I21" i="19"/>
  <c r="I20" i="19"/>
  <c r="I19" i="19"/>
  <c r="I17" i="19"/>
  <c r="I14" i="19"/>
  <c r="I13" i="19"/>
  <c r="H57" i="19" l="1"/>
  <c r="H37" i="19"/>
  <c r="H32" i="19"/>
  <c r="H29" i="19"/>
  <c r="H26" i="19"/>
  <c r="H25" i="19"/>
  <c r="H17" i="19"/>
  <c r="H14" i="19"/>
  <c r="H13" i="19"/>
  <c r="C28" i="19" l="1"/>
  <c r="G13" i="19"/>
  <c r="C18" i="19"/>
  <c r="C12" i="19"/>
  <c r="C72" i="19"/>
  <c r="C69" i="19"/>
  <c r="C64" i="19"/>
  <c r="C54" i="19"/>
  <c r="C46" i="19"/>
  <c r="C38" i="19"/>
  <c r="G14" i="19"/>
  <c r="F17" i="19"/>
  <c r="F14" i="19"/>
  <c r="F13" i="19"/>
  <c r="C76" i="19" l="1"/>
  <c r="C88" i="19" s="1"/>
  <c r="C11" i="19"/>
  <c r="E59" i="19"/>
  <c r="E57" i="19"/>
  <c r="E55" i="19"/>
  <c r="E37" i="19"/>
  <c r="E36" i="19"/>
  <c r="E35" i="19"/>
  <c r="E34" i="19"/>
  <c r="E33" i="19"/>
  <c r="E32" i="19"/>
  <c r="E30" i="19"/>
  <c r="E29" i="19"/>
  <c r="E27" i="19"/>
  <c r="E26" i="19"/>
  <c r="E25" i="19"/>
  <c r="E24" i="19"/>
  <c r="E23" i="19"/>
  <c r="E17" i="19"/>
  <c r="E14" i="19"/>
  <c r="E13" i="19"/>
  <c r="B37" i="19" l="1"/>
  <c r="B17" i="19"/>
  <c r="B14" i="19"/>
  <c r="B13" i="19"/>
  <c r="D17" i="19"/>
  <c r="D14" i="19"/>
  <c r="D13" i="19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P17" i="19" l="1"/>
  <c r="P14" i="19"/>
  <c r="P13" i="19"/>
  <c r="B32" i="19"/>
  <c r="P12" i="19" l="1"/>
  <c r="O12" i="19"/>
  <c r="F18" i="19" l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<sst xmlns="http://schemas.openxmlformats.org/spreadsheetml/2006/main" count="108" uniqueCount="108">
  <si>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</si>
  <si>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</si>
  <si>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</si>
  <si>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</si>
  <si>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</si>
  <si>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</si>
  <si>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</si>
  <si>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</si>
  <si>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</si>
  <si>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</si>
  <si>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</si>
  <si>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</si>
  <si>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</si>
  <si>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</si>
  <si>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</si>
  <si>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</si>
  <si>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</si>
  <si>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</si>
  <si>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</si>
  <si>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</si>
  <si>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</si>
  <si>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</si>
  <si>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</si>
  <si>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</si>
  <si>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</si>
  <si>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</si>
  <si>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</si>
  <si>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</si>
  <si>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</si>
  <si>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</si>
  <si>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</si>
  <si>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</si>
  <si>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</si>
  <si>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</si>
  <si>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</si>
  <si>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</si>
  <si>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</si>
  <si>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</si>
  <si>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</si>
  <si>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</si>
  <si>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</si>
  <si>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</si>
  <si>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</si>
  <si>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</si>
  <si>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</si>
  <si>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</si>
  <si>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</si>
  <si>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</si>
  <si>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</si>
  <si>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</si>
  <si>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</si>
  <si>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</si>
  <si>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</si>
  <si>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</si>
  <si>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</si>
  <si>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</si>
  <si>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</si>
  <si>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</si>
  <si>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</si>
  <si>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</si>
  <si>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</si>
  <si>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</si>
  <si>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</si>
  <si>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</si>
  <si>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</si>
  <si>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</si>
  <si>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</si>
  <si>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</si>
  <si>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</si>
  <si>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</si>
  <si>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</si>
  <si>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</si>
  <si>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</si>
  <si>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</si>
  <si>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</si>
  <si>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</si>
  <si>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</si>
  <si>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</si>
  <si>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</si>
  <si>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</si>
  <si>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</si>
  <si>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</si>
  <si>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</si>
  <si>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</si>
  <si>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</si>
  <si>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</si>
  <si>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</si>
  <si>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</si>
  <si>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</si>
  <si>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</si>
  <si>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</si>
  <si>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</si>
  <si>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</si>
  <si>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</si>
  <si>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</si>
  <si>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</si>
  <si>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</si>
  <si>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</si>
  <si>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</si>
  <si>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</si>
  <si>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</si>
  <si>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</si>
  <si>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</si>
  <si>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</si>
  <si>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</si>
  <si>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</si>
  <si>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</si>
  <si>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>Ejecución Presupuestaria y Aplicacion Financiera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</si>
</sst>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50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43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/>
    <xf numFmtId="43" fontId="1" fillId="0" borderId="1" xfId="1" applyFont="1" applyBorder="1" applyProtection="1">
      <protection locked="0"/>
    </xf>
    <xf numFmtId="43" fontId="0" fillId="0" borderId="1" xfId="1" applyFont="1" applyBorder="1" applyAlignment="1">
      <alignment horizontal="center"/>
    </xf>
    <xf numFmtId="43" fontId="0" fillId="0" borderId="0" xfId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180975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895350</xdr:colOff>
      <xdr:row>102</xdr:row>
      <xdr:rowOff>180975</xdr:rowOff>
    </xdr:from>
    <xdr:to>
      <xdr:col>5</xdr:col>
      <xdr:colOff>971550</xdr:colOff>
      <xdr:row>107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181975" y="20221575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342912</xdr:colOff>
      <xdr:row>102</xdr:row>
      <xdr:rowOff>85725</xdr:rowOff>
    </xdr:from>
    <xdr:to>
      <xdr:col>3</xdr:col>
      <xdr:colOff>299732</xdr:colOff>
      <xdr:row>112</xdr:row>
      <xdr:rowOff>161290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522164" y="19947573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542925</xdr:colOff>
      <xdr:row>104</xdr:row>
      <xdr:rowOff>47625</xdr:rowOff>
    </xdr:from>
    <xdr:to>
      <xdr:col>0</xdr:col>
      <xdr:colOff>3581400</xdr:colOff>
      <xdr:row>112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BFE21-C63B-4A46-9D48-C8AE4AF1E49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469225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FEBRERO-2024%20(SNS).xlsx" TargetMode="External"/><Relationship Id="rId1" Type="http://schemas.openxmlformats.org/officeDocument/2006/relationships/externalLinkPath" Target="ESCRITORIO%20VILLA/EJECUCION%20PRESUPUESTAL%20FEBRERO-2024%20(SN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OCTUBRE-2024%20(SNS).xlsx" TargetMode="External"/><Relationship Id="rId1" Type="http://schemas.openxmlformats.org/officeDocument/2006/relationships/externalLinkPath" Target="ESCRITORIO%20VILLA/EJECUCION%20PRESUPUESTAL%20OCTUBRE-2024%20(SNS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NOVIEMBRE-2024%20(SNS).xlsx" TargetMode="External"/><Relationship Id="rId1" Type="http://schemas.openxmlformats.org/officeDocument/2006/relationships/externalLinkPath" Target="ESCRITORIO%20VILLA/EJECUCION%20PRESUPUESTAL%20NOVIEMBRE-2024%20(SNS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JUNIO-2024%20(SNS)%20(version%201)%20(version%201).xlsx" TargetMode="External"/><Relationship Id="rId1" Type="http://schemas.openxmlformats.org/officeDocument/2006/relationships/externalLinkPath" Target="ESCRITORIO%20VILLA/EJECUCION%20PRESUPUESTAL%20JUNIO-2024%20(SNS)%20(version%201)%20(version%201)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SCRITORIO%20VILLA\EJECUCION%20PRESUPUESTAL%20DICIEMBRE-2024%20(SNS).xlsx" TargetMode="External"/><Relationship Id="rId1" Type="http://schemas.openxmlformats.org/officeDocument/2006/relationships/externalLinkPath" Target="ESCRITORIO%20VILLA/EJECUCION%20PRESUPUESTAL%20DICIEMBRE-2024%20(SN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>
        <row r="31">
          <cell r="G31">
            <v>17444206.559999999</v>
          </cell>
          <cell r="H31">
            <v>9484847.290000001</v>
          </cell>
        </row>
        <row r="55">
          <cell r="G55">
            <v>419618</v>
          </cell>
        </row>
        <row r="83">
          <cell r="G83">
            <v>2683484.5700000003</v>
          </cell>
          <cell r="H83">
            <v>1175982.75</v>
          </cell>
        </row>
        <row r="130">
          <cell r="H130">
            <v>1582840.46</v>
          </cell>
        </row>
        <row r="154">
          <cell r="H154">
            <v>601055.42000000004</v>
          </cell>
        </row>
        <row r="163">
          <cell r="H163">
            <v>791369.86</v>
          </cell>
        </row>
        <row r="185">
          <cell r="H185">
            <v>456746.09</v>
          </cell>
        </row>
        <row r="214">
          <cell r="H214">
            <v>2363343.6</v>
          </cell>
        </row>
        <row r="219">
          <cell r="H219">
            <v>1621394.46</v>
          </cell>
        </row>
        <row r="231">
          <cell r="H231">
            <v>18526</v>
          </cell>
        </row>
        <row r="253">
          <cell r="H253">
            <v>14186731.9</v>
          </cell>
        </row>
        <row r="258">
          <cell r="H258">
            <v>25399.5</v>
          </cell>
        </row>
        <row r="269">
          <cell r="H269">
            <v>1062</v>
          </cell>
        </row>
        <row r="294">
          <cell r="H294">
            <v>12111867.850000001</v>
          </cell>
        </row>
        <row r="312">
          <cell r="H312">
            <v>0</v>
          </cell>
        </row>
        <row r="317">
          <cell r="H317">
            <v>26160218.02</v>
          </cell>
        </row>
        <row r="349">
          <cell r="H349">
            <v>204606.58</v>
          </cell>
        </row>
        <row r="369">
          <cell r="H369">
            <v>5631154.1500000004</v>
          </cell>
        </row>
        <row r="395">
          <cell r="H395">
            <v>57042.75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Hoja2"/>
      <sheetName val="Hoja3"/>
      <sheetName val="Hoja1"/>
      <sheetName val="INGRESOS POR ARS"/>
      <sheetName val="MATRIZ DE GLOSA"/>
    </sheetNames>
    <sheetDataSet>
      <sheetData sheetId="0"/>
      <sheetData sheetId="1">
        <row r="31">
          <cell r="H31">
            <v>9466965.5299999993</v>
          </cell>
        </row>
      </sheetData>
      <sheetData sheetId="2">
        <row r="58">
          <cell r="E58">
            <v>0</v>
          </cell>
        </row>
      </sheetData>
      <sheetData sheetId="3"/>
      <sheetData sheetId="4"/>
      <sheetData sheetId="5"/>
      <sheetData sheetId="6"/>
      <sheetData sheetId="7">
        <row r="10">
          <cell r="L10">
            <v>17166136.140000001</v>
          </cell>
        </row>
        <row r="11">
          <cell r="L11">
            <v>503236</v>
          </cell>
        </row>
        <row r="14">
          <cell r="L14">
            <v>2640796.67</v>
          </cell>
        </row>
        <row r="21">
          <cell r="L21">
            <v>9200000</v>
          </cell>
        </row>
        <row r="22">
          <cell r="L22">
            <v>10842049.42</v>
          </cell>
        </row>
        <row r="29">
          <cell r="L29">
            <v>4616443.5599999996</v>
          </cell>
        </row>
        <row r="32">
          <cell r="L32">
            <v>9126456.8100000005</v>
          </cell>
        </row>
        <row r="34">
          <cell r="L34"/>
        </row>
        <row r="54">
          <cell r="L54">
            <v>4464999.99</v>
          </cell>
        </row>
      </sheetData>
      <sheetData sheetId="8">
        <row r="10">
          <cell r="L10">
            <v>9466965.5299999993</v>
          </cell>
        </row>
        <row r="11">
          <cell r="L11">
            <v>38426189.409999996</v>
          </cell>
        </row>
        <row r="14">
          <cell r="L14">
            <v>1453790.7699999998</v>
          </cell>
        </row>
        <row r="16">
          <cell r="L16">
            <v>1962157.75</v>
          </cell>
        </row>
        <row r="17">
          <cell r="L17">
            <v>20650</v>
          </cell>
        </row>
        <row r="19">
          <cell r="L19">
            <v>2670</v>
          </cell>
        </row>
        <row r="20">
          <cell r="L20">
            <v>157600</v>
          </cell>
        </row>
        <row r="21">
          <cell r="L21">
            <v>559850.41</v>
          </cell>
        </row>
        <row r="22">
          <cell r="L22">
            <v>4294826.04</v>
          </cell>
        </row>
        <row r="24">
          <cell r="L24">
            <v>17600.009999999998</v>
          </cell>
        </row>
        <row r="26">
          <cell r="L26">
            <v>61470</v>
          </cell>
        </row>
        <row r="27">
          <cell r="L27">
            <v>679785.72</v>
          </cell>
        </row>
        <row r="28">
          <cell r="L28">
            <v>1631029.04</v>
          </cell>
        </row>
        <row r="29">
          <cell r="L29">
            <v>2106609.0900000008</v>
          </cell>
        </row>
        <row r="30">
          <cell r="L30">
            <v>204425</v>
          </cell>
        </row>
        <row r="31">
          <cell r="L31">
            <v>86486.02</v>
          </cell>
        </row>
        <row r="32">
          <cell r="L32">
            <v>2288178.9999999991</v>
          </cell>
        </row>
        <row r="33">
          <cell r="L33">
            <v>0</v>
          </cell>
        </row>
        <row r="34">
          <cell r="L34">
            <v>8500974.6400000025</v>
          </cell>
        </row>
        <row r="52">
          <cell r="L52">
            <v>96106.14</v>
          </cell>
        </row>
        <row r="54">
          <cell r="L54">
            <v>3939108.5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E12">
            <v>1953846.09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 refreshError="1"/>
      <sheetData sheetId="1" refreshError="1">
        <row r="31">
          <cell r="J31">
            <v>26771439.57</v>
          </cell>
        </row>
        <row r="55">
          <cell r="J55">
            <v>1432105.29</v>
          </cell>
        </row>
        <row r="83">
          <cell r="J83">
            <v>3977111.2799999993</v>
          </cell>
        </row>
        <row r="93">
          <cell r="J93">
            <v>1746414.28</v>
          </cell>
        </row>
        <row r="111">
          <cell r="J111">
            <v>131819.76</v>
          </cell>
        </row>
        <row r="121">
          <cell r="J121">
            <v>2600</v>
          </cell>
        </row>
        <row r="130">
          <cell r="J130">
            <v>143600</v>
          </cell>
        </row>
        <row r="154">
          <cell r="J154">
            <v>401740.01</v>
          </cell>
        </row>
        <row r="163">
          <cell r="J163">
            <v>2660494.31</v>
          </cell>
        </row>
        <row r="185">
          <cell r="J185">
            <v>738960</v>
          </cell>
        </row>
        <row r="219">
          <cell r="J219">
            <v>2497851.37</v>
          </cell>
        </row>
        <row r="231">
          <cell r="J231">
            <v>950</v>
          </cell>
        </row>
        <row r="240">
          <cell r="J240">
            <v>593610.80000000005</v>
          </cell>
        </row>
        <row r="253">
          <cell r="J253">
            <v>2874266.2</v>
          </cell>
        </row>
        <row r="258">
          <cell r="J258">
            <v>51151.979999999996</v>
          </cell>
        </row>
        <row r="269">
          <cell r="J269">
            <v>2100.02</v>
          </cell>
        </row>
        <row r="294">
          <cell r="J294">
            <v>1939439</v>
          </cell>
        </row>
        <row r="317">
          <cell r="J317">
            <v>23837061.979999997</v>
          </cell>
        </row>
        <row r="349">
          <cell r="J349">
            <v>444303.51</v>
          </cell>
        </row>
        <row r="369">
          <cell r="J369">
            <v>1728521.88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M10">
            <v>17255793.170000002</v>
          </cell>
        </row>
      </sheetData>
      <sheetData sheetId="8">
        <row r="10">
          <cell r="M10">
            <v>9515646.4000000004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Hoja1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H16">
            <v>5900</v>
          </cell>
        </row>
        <row r="17">
          <cell r="H17">
            <v>13629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193600</v>
          </cell>
        </row>
        <row r="21">
          <cell r="H21">
            <v>632715.18000000005</v>
          </cell>
        </row>
        <row r="22">
          <cell r="H22">
            <v>1550275.06</v>
          </cell>
        </row>
        <row r="23">
          <cell r="H23">
            <v>3285156</v>
          </cell>
        </row>
        <row r="24">
          <cell r="H24">
            <v>1906121.8</v>
          </cell>
        </row>
        <row r="26">
          <cell r="H26">
            <v>251823.89</v>
          </cell>
        </row>
        <row r="27">
          <cell r="H27">
            <v>0</v>
          </cell>
        </row>
        <row r="28">
          <cell r="H28">
            <v>2231085</v>
          </cell>
        </row>
        <row r="29">
          <cell r="H29">
            <v>11963534.98</v>
          </cell>
        </row>
        <row r="30">
          <cell r="H30">
            <v>97425.52</v>
          </cell>
        </row>
        <row r="31">
          <cell r="H31">
            <v>404613.5</v>
          </cell>
        </row>
        <row r="32">
          <cell r="H32">
            <v>3526276.8600000003</v>
          </cell>
        </row>
        <row r="33">
          <cell r="H33">
            <v>0</v>
          </cell>
        </row>
        <row r="34">
          <cell r="H34">
            <v>24891795.019999996</v>
          </cell>
        </row>
        <row r="52">
          <cell r="H52">
            <v>367662.6</v>
          </cell>
        </row>
        <row r="53">
          <cell r="H53">
            <v>0</v>
          </cell>
        </row>
        <row r="54">
          <cell r="H54">
            <v>2446516.25</v>
          </cell>
        </row>
        <row r="55">
          <cell r="H55">
            <v>0</v>
          </cell>
        </row>
        <row r="56">
          <cell r="H56">
            <v>250460.9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N10">
            <v>17375483.800000001</v>
          </cell>
        </row>
        <row r="11">
          <cell r="N11">
            <v>503236</v>
          </cell>
        </row>
        <row r="13">
          <cell r="N13">
            <v>17753040.629999999</v>
          </cell>
        </row>
        <row r="14">
          <cell r="N14">
            <v>2673015.2600000002</v>
          </cell>
        </row>
      </sheetData>
      <sheetData sheetId="8">
        <row r="10">
          <cell r="N10">
            <v>16089768.469999999</v>
          </cell>
        </row>
        <row r="11">
          <cell r="N11">
            <v>940767.05</v>
          </cell>
        </row>
        <row r="14">
          <cell r="N14">
            <v>1315261.69</v>
          </cell>
        </row>
        <row r="16">
          <cell r="N16">
            <v>1256406.5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2000</v>
          </cell>
        </row>
        <row r="20">
          <cell r="N20">
            <v>466600</v>
          </cell>
        </row>
        <row r="21">
          <cell r="N21">
            <v>763851.93</v>
          </cell>
        </row>
        <row r="22">
          <cell r="N22">
            <v>4707469.7100000009</v>
          </cell>
        </row>
        <row r="23">
          <cell r="N23">
            <v>459480</v>
          </cell>
        </row>
        <row r="24">
          <cell r="N24">
            <v>1204048.3999999999</v>
          </cell>
        </row>
        <row r="26">
          <cell r="N26">
            <v>2012367.12</v>
          </cell>
        </row>
        <row r="27">
          <cell r="N27">
            <v>0</v>
          </cell>
        </row>
        <row r="28">
          <cell r="N28">
            <v>1993265.81</v>
          </cell>
        </row>
        <row r="29">
          <cell r="N29">
            <v>9277684.9600000009</v>
          </cell>
        </row>
        <row r="30">
          <cell r="N30">
            <v>137142.20000000001</v>
          </cell>
        </row>
        <row r="31">
          <cell r="N31">
            <v>3001.8</v>
          </cell>
        </row>
        <row r="32">
          <cell r="N32">
            <v>4107526.1900000004</v>
          </cell>
        </row>
        <row r="33">
          <cell r="N33">
            <v>0</v>
          </cell>
        </row>
        <row r="34">
          <cell r="N34">
            <v>20125650.510000002</v>
          </cell>
        </row>
        <row r="52">
          <cell r="N52">
            <v>1798575</v>
          </cell>
        </row>
        <row r="53">
          <cell r="N53">
            <v>268470</v>
          </cell>
        </row>
        <row r="54">
          <cell r="N54">
            <v>831695.86</v>
          </cell>
        </row>
        <row r="55">
          <cell r="N55">
            <v>0</v>
          </cell>
        </row>
        <row r="56">
          <cell r="N56">
            <v>234163.97</v>
          </cell>
        </row>
        <row r="57">
          <cell r="N57">
            <v>0</v>
          </cell>
        </row>
        <row r="58">
          <cell r="N58">
            <v>0</v>
          </cell>
        </row>
        <row r="59">
          <cell r="N59">
            <v>150000</v>
          </cell>
        </row>
        <row r="60">
          <cell r="N6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workbookViewId="0">
      <selection activeCell="A13" sqref="A13"/>
    </sheetView>
  </sheetViews>
  <sheetFormatPr baseColWidth="10" defaultRowHeight="15" x14ac:dyDescent="0.25"/>
  <cols>
    <col min="1" max="1" width="61.28515625" customWidth="1"/>
    <col min="2" max="2" width="16.85546875" customWidth="1"/>
    <col min="3" max="3" width="16.28515625" customWidth="1"/>
    <col min="4" max="4" width="14.85546875" customWidth="1"/>
    <col min="5" max="5" width="15.28515625" customWidth="1"/>
    <col min="6" max="6" width="14.85546875" customWidth="1"/>
    <col min="7" max="7" width="16.42578125" customWidth="1"/>
    <col min="8" max="8" width="15.42578125" customWidth="1"/>
    <col min="9" max="9" width="17.42578125" customWidth="1"/>
    <col min="10" max="10" width="16.140625" customWidth="1"/>
    <col min="11" max="11" width="14.85546875" customWidth="1"/>
    <col min="12" max="12" width="15" customWidth="1"/>
    <col min="13" max="13" width="15.28515625" customWidth="1"/>
    <col min="14" max="14" width="14.85546875" customWidth="1"/>
    <col min="15" max="15" width="14.5703125" customWidth="1"/>
    <col min="16" max="16" width="18.85546875" customWidth="1"/>
    <col min="17" max="17" width="15.140625" bestFit="1" customWidth="1"/>
  </cols>
  <sheetData>
    <row r="1" spans="1:16" ht="18.75" x14ac:dyDescent="0.25">
      <c r="A1" s="47" t="s">
        <v>90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ht="18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6" ht="18.7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6" ht="15.75" x14ac:dyDescent="0.25">
      <c r="A7" s="48" t="s">
        <v>107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6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10" spans="1:16" ht="32.25" thickBot="1" x14ac:dyDescent="0.3">
      <c r="A10" s="20" t="s">
        <v>0</v>
      </c>
      <c r="B10" s="21" t="s">
        <v>93</v>
      </c>
      <c r="C10" s="21" t="s">
        <v>94</v>
      </c>
      <c r="D10" s="21" t="s">
        <v>78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91</v>
      </c>
    </row>
    <row r="11" spans="1:16" ht="15.75" thickBot="1" x14ac:dyDescent="0.3">
      <c r="A11" s="25" t="s">
        <v>1</v>
      </c>
      <c r="B11" s="26">
        <f t="shared" ref="B11:F11" si="0">B12+B18+B28+B38+B46+B54+B64+B69+B72</f>
        <v>1856111902</v>
      </c>
      <c r="C11" s="26">
        <f>C12+C18+C28+C38+C46+C54+C64+C69+C72</f>
        <v>0</v>
      </c>
      <c r="D11" s="26">
        <f t="shared" si="0"/>
        <v>61496147.729999997</v>
      </c>
      <c r="E11" s="26">
        <f t="shared" si="0"/>
        <v>97021497.810000017</v>
      </c>
      <c r="F11" s="26">
        <f t="shared" si="0"/>
        <v>54110064.459999993</v>
      </c>
      <c r="G11" s="26">
        <f t="shared" ref="G11:O11" si="1">G12+G18+G28+G38+G46+G54+G64+G69+G72</f>
        <v>112436572.56999998</v>
      </c>
      <c r="H11" s="26">
        <f t="shared" si="1"/>
        <v>107042083.59999999</v>
      </c>
      <c r="I11" s="26">
        <f t="shared" si="1"/>
        <v>101850863.06</v>
      </c>
      <c r="J11" s="26">
        <f t="shared" si="1"/>
        <v>72159721.459999993</v>
      </c>
      <c r="K11" s="26">
        <f t="shared" si="1"/>
        <v>47534849.139999993</v>
      </c>
      <c r="L11" s="26">
        <f t="shared" si="1"/>
        <v>81785738.409999996</v>
      </c>
      <c r="M11" s="26">
        <f t="shared" si="1"/>
        <v>136191866.56999999</v>
      </c>
      <c r="N11" s="26">
        <f t="shared" si="1"/>
        <v>71975541.239999995</v>
      </c>
      <c r="O11" s="26">
        <f t="shared" si="1"/>
        <v>106449972.86</v>
      </c>
      <c r="P11" s="27">
        <f>SUM(D11:O11)</f>
        <v>1050054918.91</v>
      </c>
    </row>
    <row r="12" spans="1:16" x14ac:dyDescent="0.25">
      <c r="A12" s="36" t="s">
        <v>2</v>
      </c>
      <c r="B12" s="23">
        <f>B13+B14+B15+B16+B17</f>
        <v>780579852</v>
      </c>
      <c r="C12" s="23">
        <f>C13+C14+C15+C16+C17</f>
        <v>0</v>
      </c>
      <c r="D12" s="24">
        <f>SUM(D13:D17)</f>
        <v>40373158.93</v>
      </c>
      <c r="E12" s="24">
        <f t="shared" ref="E12:P12" si="2">SUM(E13:E17)</f>
        <v>31208139.170000002</v>
      </c>
      <c r="F12" s="24">
        <f t="shared" si="2"/>
        <v>32858961.710000001</v>
      </c>
      <c r="G12" s="24">
        <f t="shared" si="2"/>
        <v>63783397.619999997</v>
      </c>
      <c r="H12" s="24">
        <f t="shared" si="2"/>
        <v>32224694.159999996</v>
      </c>
      <c r="I12" s="24">
        <f t="shared" si="2"/>
        <v>47832271.5</v>
      </c>
      <c r="J12" s="24">
        <f t="shared" si="2"/>
        <v>30088512.949999999</v>
      </c>
      <c r="K12" s="24">
        <f t="shared" si="2"/>
        <v>32929356.219999999</v>
      </c>
      <c r="L12" s="24">
        <f t="shared" si="2"/>
        <v>30776472.450000003</v>
      </c>
      <c r="M12" s="24">
        <f t="shared" si="2"/>
        <v>69657114.519999996</v>
      </c>
      <c r="N12" s="24">
        <f t="shared" si="2"/>
        <v>32180656.140000001</v>
      </c>
      <c r="O12" s="24">
        <f t="shared" si="2"/>
        <v>56650572.900000006</v>
      </c>
      <c r="P12" s="24">
        <f t="shared" si="2"/>
        <v>500563308.26999998</v>
      </c>
    </row>
    <row r="13" spans="1:16" ht="21.75" customHeight="1" x14ac:dyDescent="0.25">
      <c r="A13" s="40" t="s">
        <v>3</v>
      </c>
      <c r="B13" s="29">
        <f>217174227+240678431</f>
        <v>457852658</v>
      </c>
      <c r="C13" s="9">
        <v>0</v>
      </c>
      <c r="D13" s="1">
        <f>17528169.66+8326143.51</f>
        <v>25854313.170000002</v>
      </c>
      <c r="E13" s="14">
        <f>'[1]CONS.AÑO 2024 MODIFICADO'!$G$31+'[1]CONS.AÑO 2024 MODIFICADO'!$H$31</f>
        <v>26929053.850000001</v>
      </c>
      <c r="F13" s="1">
        <f>8461847.18+17316206.56</f>
        <v>25778053.739999998</v>
      </c>
      <c r="G13" s="1">
        <f>17354206.56+8449154.26+257109.04</f>
        <v>26060469.859999999</v>
      </c>
      <c r="H13" s="1">
        <f>17298843.93+8423407.87</f>
        <v>25722251.799999997</v>
      </c>
      <c r="I13" s="45">
        <f>17279843.93+7465693.53+38000+27272.72+824626.2</f>
        <v>25635436.379999999</v>
      </c>
      <c r="J13" s="1">
        <f>17205195+7420693.53+824626.2+342711.84</f>
        <v>25793226.57</v>
      </c>
      <c r="K13" s="1">
        <f>17173374.41+7421342.45+862626.2+200000</f>
        <v>25657343.059999999</v>
      </c>
      <c r="L13" s="1">
        <f>17265485.07+9156232.06</f>
        <v>26421717.130000003</v>
      </c>
      <c r="M13" s="1">
        <f>'[2]TRANSF CORRIENTE'!$L$10+[2]VS!$L$10</f>
        <v>26633101.670000002</v>
      </c>
      <c r="N13" s="1">
        <f>'[3]CONS.AÑO 2024 MODIFICADO'!$J$31</f>
        <v>26771439.57</v>
      </c>
      <c r="O13" s="1">
        <f>'[5]TRANSF CORRIENTE'!$N$10+[5]VS!$N$10</f>
        <v>33465252.27</v>
      </c>
      <c r="P13" s="16">
        <f>D13+E13+F13+G13+H13+I13+J13+K13+L13+M13+N13+O13</f>
        <v>320721659.06999999</v>
      </c>
    </row>
    <row r="14" spans="1:16" x14ac:dyDescent="0.25">
      <c r="A14" s="40" t="s">
        <v>4</v>
      </c>
      <c r="B14" s="29">
        <f>259670162+6376956</f>
        <v>266047118</v>
      </c>
      <c r="C14" s="9"/>
      <c r="D14" s="1">
        <f>419618+10215352.86</f>
        <v>10634970.859999999</v>
      </c>
      <c r="E14" s="1">
        <f>'[1]CONS.AÑO 2024 MODIFICADO'!$G$55</f>
        <v>419618</v>
      </c>
      <c r="F14" s="1">
        <f>2832294.85+419618</f>
        <v>3251912.85</v>
      </c>
      <c r="G14" s="1">
        <f>502618+33386158.99</f>
        <v>33888776.989999995</v>
      </c>
      <c r="H14" s="1">
        <f>499618+2193817.92</f>
        <v>2693435.92</v>
      </c>
      <c r="I14" s="1">
        <f>499618+17891134.78</f>
        <v>18390752.780000001</v>
      </c>
      <c r="J14" s="1">
        <v>507618</v>
      </c>
      <c r="K14" s="1">
        <f>507618+2981524.1</f>
        <v>3489142.1</v>
      </c>
      <c r="L14" s="1">
        <v>507618</v>
      </c>
      <c r="M14" s="1">
        <f>'[2]TRANSF CORRIENTE'!$L$11+[2]VS!$L$11</f>
        <v>38929425.409999996</v>
      </c>
      <c r="N14" s="1">
        <f>'[3]CONS.AÑO 2024 MODIFICADO'!$J$55</f>
        <v>1432105.29</v>
      </c>
      <c r="O14" s="1">
        <f>'[5]TRANSF CORRIENTE'!$N$11+[5]VS!$N$11</f>
        <v>1444003.05</v>
      </c>
      <c r="P14" s="16">
        <f t="shared" ref="P14:P45" si="3">D14+E14+F14+G14+H14+I14+J14+K14+L14+M14+N14+O14</f>
        <v>115589379.25</v>
      </c>
    </row>
    <row r="15" spans="1:16" x14ac:dyDescent="0.25">
      <c r="A15" s="40" t="s">
        <v>36</v>
      </c>
      <c r="B15" s="29">
        <v>0</v>
      </c>
      <c r="C15" s="9"/>
      <c r="D15" s="1">
        <v>0</v>
      </c>
      <c r="E15" s="1">
        <v>0</v>
      </c>
      <c r="F15" s="1">
        <v>0</v>
      </c>
      <c r="G15" s="1"/>
      <c r="H15" s="1"/>
      <c r="I15" s="1"/>
      <c r="J15" s="1">
        <v>0</v>
      </c>
      <c r="K15" s="1"/>
      <c r="L15" s="1"/>
      <c r="M15" s="1"/>
      <c r="N15" s="1">
        <v>0</v>
      </c>
      <c r="O15" s="1"/>
      <c r="P15" s="16">
        <f t="shared" si="3"/>
        <v>0</v>
      </c>
    </row>
    <row r="16" spans="1:16" x14ac:dyDescent="0.25">
      <c r="A16" s="40" t="s">
        <v>5</v>
      </c>
      <c r="B16" s="29">
        <v>0</v>
      </c>
      <c r="C16" s="9"/>
      <c r="D16" s="1">
        <v>0</v>
      </c>
      <c r="E16" s="1">
        <v>0</v>
      </c>
      <c r="F16" s="1">
        <v>0</v>
      </c>
      <c r="G16" s="1"/>
      <c r="H16" s="1"/>
      <c r="I16" s="1"/>
      <c r="J16" s="1">
        <v>0</v>
      </c>
      <c r="K16" s="1"/>
      <c r="L16" s="1"/>
      <c r="M16" s="1"/>
      <c r="N16" s="1">
        <v>0</v>
      </c>
      <c r="O16" s="1">
        <f>'[5]TRANSF CORRIENTE'!$N$13</f>
        <v>17753040.629999999</v>
      </c>
      <c r="P16" s="16">
        <f t="shared" si="3"/>
        <v>17753040.629999999</v>
      </c>
    </row>
    <row r="17" spans="1:16" x14ac:dyDescent="0.25">
      <c r="A17" s="40" t="s">
        <v>6</v>
      </c>
      <c r="B17" s="29">
        <f>22569083+34110993</f>
        <v>56680076</v>
      </c>
      <c r="C17" s="9"/>
      <c r="D17" s="1">
        <f>2696049.06+1187825.84</f>
        <v>3883874.9000000004</v>
      </c>
      <c r="E17" s="1">
        <f>'[1]CONS.AÑO 2024 MODIFICADO'!$G$83+'[1]CONS.AÑO 2024 MODIFICADO'!$H$83</f>
        <v>3859467.3200000003</v>
      </c>
      <c r="F17" s="1">
        <f>1165209.75+2663785.37</f>
        <v>3828995.12</v>
      </c>
      <c r="G17" s="1">
        <v>3834150.77</v>
      </c>
      <c r="H17" s="1">
        <f>2661113.26+1147893.18</f>
        <v>3809006.4399999995</v>
      </c>
      <c r="I17" s="1">
        <f>1225140.86+1226868.86+206179.44+88511.19+529317.67+530064.32</f>
        <v>3806082.34</v>
      </c>
      <c r="J17" s="1">
        <f>1745975.42+1748438.11+293254.85</f>
        <v>3787668.3800000004</v>
      </c>
      <c r="K17" s="1">
        <f>1743765.34+1746224.92+292880.8</f>
        <v>3782871.0599999996</v>
      </c>
      <c r="L17" s="1">
        <f>2656086.46+1191050.86</f>
        <v>3847137.3200000003</v>
      </c>
      <c r="M17" s="1">
        <f>'[2]TRANSF CORRIENTE'!$L$14+[2]VS!$L$14</f>
        <v>4094587.4399999995</v>
      </c>
      <c r="N17" s="1">
        <f>'[3]CONS.AÑO 2024 MODIFICADO'!$J$83</f>
        <v>3977111.2799999993</v>
      </c>
      <c r="O17" s="1">
        <f>'[5]TRANSF CORRIENTE'!$N$14+[5]VS!$N$14</f>
        <v>3988276.95</v>
      </c>
      <c r="P17" s="16">
        <f t="shared" si="3"/>
        <v>46499229.319999993</v>
      </c>
    </row>
    <row r="18" spans="1:16" x14ac:dyDescent="0.25">
      <c r="A18" s="37" t="s">
        <v>7</v>
      </c>
      <c r="B18" s="12">
        <f>B19+B20+B21+B22+B23+B24+B25+B26+B27</f>
        <v>133048989</v>
      </c>
      <c r="C18" s="8">
        <f>C19+C20+C21+C22+C23+C24+C25+C26+C27</f>
        <v>0</v>
      </c>
      <c r="D18" s="8">
        <f>SUM(D19:D27)</f>
        <v>2805637.23</v>
      </c>
      <c r="E18" s="8">
        <f t="shared" ref="E18:O18" si="4">SUM(E19:E27)</f>
        <v>5795355.4299999997</v>
      </c>
      <c r="F18" s="8">
        <f>SUM(F19:F27)</f>
        <v>9192092.6899999995</v>
      </c>
      <c r="G18" s="8">
        <f t="shared" si="4"/>
        <v>8195856.8599999994</v>
      </c>
      <c r="H18" s="8">
        <f t="shared" si="4"/>
        <v>9488828.4100000001</v>
      </c>
      <c r="I18" s="8">
        <f t="shared" si="4"/>
        <v>7587397.04</v>
      </c>
      <c r="J18" s="8">
        <f t="shared" si="4"/>
        <v>6504841.7400000002</v>
      </c>
      <c r="K18" s="8">
        <f t="shared" si="4"/>
        <v>3428969.39</v>
      </c>
      <c r="L18" s="8">
        <f t="shared" si="4"/>
        <v>15369685.91</v>
      </c>
      <c r="M18" s="8">
        <f t="shared" si="4"/>
        <v>28607961.040000003</v>
      </c>
      <c r="N18" s="8">
        <f t="shared" si="4"/>
        <v>5825628.3599999994</v>
      </c>
      <c r="O18" s="8">
        <f t="shared" si="4"/>
        <v>8859856.540000001</v>
      </c>
      <c r="P18" s="18">
        <f>SUM(P19:P27)</f>
        <v>111662110.64</v>
      </c>
    </row>
    <row r="19" spans="1:16" ht="15" customHeight="1" x14ac:dyDescent="0.25">
      <c r="A19" s="40" t="s">
        <v>8</v>
      </c>
      <c r="B19" s="29">
        <v>33851509</v>
      </c>
      <c r="C19" s="9">
        <v>-200000</v>
      </c>
      <c r="D19" s="1">
        <v>1060481.42</v>
      </c>
      <c r="E19" s="1">
        <v>0</v>
      </c>
      <c r="F19" s="1">
        <v>2060833.44</v>
      </c>
      <c r="G19" s="1">
        <v>3340694.5</v>
      </c>
      <c r="H19" s="1">
        <v>1838832.72</v>
      </c>
      <c r="I19" s="1">
        <f>[4]VS!H16</f>
        <v>5900</v>
      </c>
      <c r="J19" s="1">
        <f>1922559.82+404767.61+370556</f>
        <v>2697883.43</v>
      </c>
      <c r="K19" s="1">
        <v>0</v>
      </c>
      <c r="L19" s="1">
        <v>2675180.92</v>
      </c>
      <c r="M19" s="1">
        <f>[2]VS!$L$16</f>
        <v>1962157.75</v>
      </c>
      <c r="N19" s="1">
        <f>'[3]CONS.AÑO 2024 MODIFICADO'!$J$93</f>
        <v>1746414.28</v>
      </c>
      <c r="O19" s="1">
        <f>[5]VS!N16</f>
        <v>1256406.5</v>
      </c>
      <c r="P19" s="16">
        <f t="shared" si="3"/>
        <v>18644784.960000001</v>
      </c>
    </row>
    <row r="20" spans="1:16" x14ac:dyDescent="0.25">
      <c r="A20" s="40" t="s">
        <v>9</v>
      </c>
      <c r="B20" s="29">
        <v>906500</v>
      </c>
      <c r="C20" s="9"/>
      <c r="D20" s="1">
        <v>0</v>
      </c>
      <c r="E20" s="1">
        <v>0</v>
      </c>
      <c r="F20" s="1">
        <v>320</v>
      </c>
      <c r="G20" s="1">
        <v>0</v>
      </c>
      <c r="H20" s="1">
        <v>0</v>
      </c>
      <c r="I20" s="1">
        <f>[4]VS!H17</f>
        <v>13629</v>
      </c>
      <c r="J20" s="1">
        <v>0</v>
      </c>
      <c r="K20" s="1">
        <v>222784</v>
      </c>
      <c r="L20" s="1">
        <v>34692</v>
      </c>
      <c r="M20" s="1">
        <f>[2]VS!$L$17</f>
        <v>20650</v>
      </c>
      <c r="N20" s="1">
        <f>'[3]CONS.AÑO 2024 MODIFICADO'!$J$111</f>
        <v>131819.76</v>
      </c>
      <c r="O20" s="1">
        <f>[5]VS!N17</f>
        <v>0</v>
      </c>
      <c r="P20" s="16">
        <f t="shared" si="3"/>
        <v>423894.76</v>
      </c>
    </row>
    <row r="21" spans="1:16" x14ac:dyDescent="0.25">
      <c r="A21" s="40" t="s">
        <v>10</v>
      </c>
      <c r="B21" s="29">
        <v>4354346</v>
      </c>
      <c r="C21" s="9">
        <v>-200000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>[4]VS!H18</f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f>[5]VS!N18</f>
        <v>0</v>
      </c>
      <c r="P21" s="16">
        <f t="shared" si="3"/>
        <v>0</v>
      </c>
    </row>
    <row r="22" spans="1:16" x14ac:dyDescent="0.25">
      <c r="A22" s="40" t="s">
        <v>11</v>
      </c>
      <c r="B22" s="29">
        <v>1547481</v>
      </c>
      <c r="C22" s="9">
        <v>-200000</v>
      </c>
      <c r="D22" s="1">
        <v>1000</v>
      </c>
      <c r="E22" s="1">
        <v>0</v>
      </c>
      <c r="F22" s="1">
        <v>2000</v>
      </c>
      <c r="G22" s="1">
        <v>99000</v>
      </c>
      <c r="H22" s="1">
        <v>7300</v>
      </c>
      <c r="I22" s="1">
        <f>[4]VS!H19</f>
        <v>0</v>
      </c>
      <c r="J22" s="1">
        <v>0</v>
      </c>
      <c r="K22" s="1">
        <v>16000</v>
      </c>
      <c r="L22" s="1">
        <v>15560</v>
      </c>
      <c r="M22" s="1">
        <f>[2]VS!$L$19</f>
        <v>2670</v>
      </c>
      <c r="N22" s="1">
        <f>'[3]CONS.AÑO 2024 MODIFICADO'!$J$121</f>
        <v>2600</v>
      </c>
      <c r="O22" s="1">
        <f>[5]VS!N19</f>
        <v>2000</v>
      </c>
      <c r="P22" s="16">
        <f t="shared" si="3"/>
        <v>148130</v>
      </c>
    </row>
    <row r="23" spans="1:16" x14ac:dyDescent="0.25">
      <c r="A23" s="40" t="s">
        <v>12</v>
      </c>
      <c r="B23" s="29">
        <v>8590657</v>
      </c>
      <c r="C23" s="9">
        <v>0</v>
      </c>
      <c r="D23" s="1">
        <v>4500</v>
      </c>
      <c r="E23" s="1">
        <f>'[1]CONS.AÑO 2024 MODIFICADO'!$H$130</f>
        <v>1582840.46</v>
      </c>
      <c r="F23" s="1">
        <v>637056</v>
      </c>
      <c r="G23" s="1">
        <v>0</v>
      </c>
      <c r="H23" s="1">
        <v>283200</v>
      </c>
      <c r="I23" s="1">
        <f>[4]VS!H20</f>
        <v>193600</v>
      </c>
      <c r="J23" s="1">
        <f>20000+353056</f>
        <v>373056</v>
      </c>
      <c r="K23" s="1">
        <f>80000+141600</f>
        <v>221600</v>
      </c>
      <c r="L23" s="1">
        <v>283200</v>
      </c>
      <c r="M23" s="1">
        <f>[2]VS!$L$20</f>
        <v>157600</v>
      </c>
      <c r="N23" s="1">
        <f>'[3]CONS.AÑO 2024 MODIFICADO'!$J$130</f>
        <v>143600</v>
      </c>
      <c r="O23" s="1">
        <f>[5]VS!N20</f>
        <v>466600</v>
      </c>
      <c r="P23" s="16">
        <f t="shared" si="3"/>
        <v>4346852.46</v>
      </c>
    </row>
    <row r="24" spans="1:16" x14ac:dyDescent="0.25">
      <c r="A24" s="40" t="s">
        <v>13</v>
      </c>
      <c r="B24" s="29">
        <v>22572455</v>
      </c>
      <c r="C24" s="9"/>
      <c r="D24" s="1">
        <v>546594.68000000005</v>
      </c>
      <c r="E24" s="1">
        <f>'[1]CONS.AÑO 2024 MODIFICADO'!$H$154</f>
        <v>601055.42000000004</v>
      </c>
      <c r="F24" s="1">
        <v>721205.82</v>
      </c>
      <c r="G24" s="1">
        <v>1040737.46</v>
      </c>
      <c r="H24" s="1">
        <v>0</v>
      </c>
      <c r="I24" s="1">
        <f>[4]VS!H21</f>
        <v>632715.18000000005</v>
      </c>
      <c r="J24" s="1">
        <v>1071315.25</v>
      </c>
      <c r="K24" s="1">
        <v>0</v>
      </c>
      <c r="L24" s="1">
        <v>658381</v>
      </c>
      <c r="M24" s="1">
        <f>'[2]TRANSF CORRIENTE'!$L$21+[2]VS!$L$21</f>
        <v>9759850.4100000001</v>
      </c>
      <c r="N24" s="1">
        <f>'[3]CONS.AÑO 2024 MODIFICADO'!$J$154</f>
        <v>401740.01</v>
      </c>
      <c r="O24" s="1">
        <f>[5]VS!N21</f>
        <v>763851.93</v>
      </c>
      <c r="P24" s="16">
        <f t="shared" si="3"/>
        <v>16197447.16</v>
      </c>
    </row>
    <row r="25" spans="1:16" x14ac:dyDescent="0.25">
      <c r="A25" s="40" t="s">
        <v>14</v>
      </c>
      <c r="B25" s="29">
        <v>35884945</v>
      </c>
      <c r="C25" s="9"/>
      <c r="D25" s="1">
        <v>722555.61</v>
      </c>
      <c r="E25" s="1">
        <f>'[1]CONS.AÑO 2024 MODIFICADO'!$H$163</f>
        <v>791369.86</v>
      </c>
      <c r="F25" s="1">
        <v>5165248.0999999996</v>
      </c>
      <c r="G25" s="1">
        <v>3220684.9</v>
      </c>
      <c r="H25" s="1">
        <f>1061334.53+1392408.76</f>
        <v>2453743.29</v>
      </c>
      <c r="I25" s="1">
        <f>[4]VS!H22</f>
        <v>1550275.06</v>
      </c>
      <c r="J25" s="1">
        <f>390344+31506+288678.06+421909+8850</f>
        <v>1141287.06</v>
      </c>
      <c r="K25" s="1">
        <f>180162.99+64640.4+248036+371700</f>
        <v>864539.39</v>
      </c>
      <c r="L25" s="1">
        <v>10649335.960000001</v>
      </c>
      <c r="M25" s="1">
        <f>'[2]TRANSF CORRIENTE'!$L$22+[2]VS!$L$22</f>
        <v>15136875.460000001</v>
      </c>
      <c r="N25" s="1">
        <f>'[3]CONS.AÑO 2024 MODIFICADO'!$J$163</f>
        <v>2660494.31</v>
      </c>
      <c r="O25" s="1">
        <f>[5]VS!N22</f>
        <v>4707469.7100000009</v>
      </c>
      <c r="P25" s="16">
        <f t="shared" si="3"/>
        <v>49063878.710000001</v>
      </c>
    </row>
    <row r="26" spans="1:16" x14ac:dyDescent="0.25">
      <c r="A26" s="40" t="s">
        <v>15</v>
      </c>
      <c r="B26" s="29">
        <v>13841096</v>
      </c>
      <c r="C26" s="9">
        <v>600000</v>
      </c>
      <c r="D26" s="1">
        <v>470505.52</v>
      </c>
      <c r="E26" s="1">
        <f>'[1]CONS.AÑO 2024 MODIFICADO'!$H$185</f>
        <v>456746.09</v>
      </c>
      <c r="F26" s="1">
        <v>605429.32999999996</v>
      </c>
      <c r="G26" s="1">
        <v>494740</v>
      </c>
      <c r="H26" s="1">
        <f>2801593+1038072</f>
        <v>3839665</v>
      </c>
      <c r="I26" s="1">
        <f>[4]VS!H23</f>
        <v>3285156</v>
      </c>
      <c r="J26" s="1">
        <f>204140+554600+251340</f>
        <v>1010080</v>
      </c>
      <c r="K26" s="1">
        <f>135700+294840</f>
        <v>430540</v>
      </c>
      <c r="L26" s="1">
        <v>1053336.03</v>
      </c>
      <c r="M26" s="1">
        <v>1550557.41</v>
      </c>
      <c r="N26" s="1">
        <f>'[3]CONS.AÑO 2024 MODIFICADO'!$J$185</f>
        <v>738960</v>
      </c>
      <c r="O26" s="1">
        <f>[5]VS!N23</f>
        <v>459480</v>
      </c>
      <c r="P26" s="16">
        <f t="shared" si="3"/>
        <v>14395195.379999999</v>
      </c>
    </row>
    <row r="27" spans="1:16" x14ac:dyDescent="0.25">
      <c r="A27" s="40" t="s">
        <v>37</v>
      </c>
      <c r="B27" s="29">
        <v>11500000</v>
      </c>
      <c r="C27" s="44"/>
      <c r="D27" s="1">
        <v>0</v>
      </c>
      <c r="E27" s="1">
        <f>'[1]CONS.AÑO 2024 MODIFICADO'!$H$214</f>
        <v>2363343.6</v>
      </c>
      <c r="F27" s="1">
        <v>0</v>
      </c>
      <c r="G27" s="1">
        <v>0</v>
      </c>
      <c r="H27" s="1">
        <v>1066087.3999999999</v>
      </c>
      <c r="I27" s="1">
        <f>[4]VS!H24</f>
        <v>1906121.8</v>
      </c>
      <c r="J27" s="1">
        <v>211220</v>
      </c>
      <c r="K27" s="1">
        <v>1673506</v>
      </c>
      <c r="L27" s="1">
        <v>0</v>
      </c>
      <c r="M27" s="1">
        <f>[2]VS!$L$24</f>
        <v>17600.009999999998</v>
      </c>
      <c r="N27" s="1">
        <v>0</v>
      </c>
      <c r="O27" s="1">
        <f>[5]VS!N24</f>
        <v>1204048.3999999999</v>
      </c>
      <c r="P27" s="16">
        <f t="shared" si="3"/>
        <v>8441927.209999999</v>
      </c>
    </row>
    <row r="28" spans="1:16" x14ac:dyDescent="0.25">
      <c r="A28" s="37" t="s">
        <v>16</v>
      </c>
      <c r="B28" s="12">
        <f>B29+B30+B31+B32+B33+B34+B35+B36+B37</f>
        <v>801036123</v>
      </c>
      <c r="C28" s="8">
        <f>C29+C30+C31+C32+C33+C34+C35+C36+C37</f>
        <v>500000</v>
      </c>
      <c r="D28" s="8">
        <f>SUM(D29:D37)</f>
        <v>18317351.57</v>
      </c>
      <c r="E28" s="8">
        <f t="shared" ref="E28:N28" si="5">SUM(E29:E37)</f>
        <v>54125199.730000004</v>
      </c>
      <c r="F28" s="8">
        <f t="shared" si="5"/>
        <v>11154712.08</v>
      </c>
      <c r="G28" s="8">
        <f t="shared" si="5"/>
        <v>37593223.129999995</v>
      </c>
      <c r="H28" s="8">
        <f t="shared" si="5"/>
        <v>57171229.980000004</v>
      </c>
      <c r="I28" s="8">
        <f t="shared" si="5"/>
        <v>43366554.769999996</v>
      </c>
      <c r="J28" s="8">
        <f t="shared" si="5"/>
        <v>35226366.769999996</v>
      </c>
      <c r="K28" s="8">
        <f t="shared" si="5"/>
        <v>8506920.1600000001</v>
      </c>
      <c r="L28" s="8">
        <f t="shared" si="5"/>
        <v>35009583.149999999</v>
      </c>
      <c r="M28" s="8">
        <f t="shared" si="5"/>
        <v>29301858.880000003</v>
      </c>
      <c r="N28" s="8">
        <f t="shared" si="5"/>
        <v>31796431.349999998</v>
      </c>
      <c r="O28" s="8">
        <f>SUM(O29:O37)</f>
        <v>37656638.590000004</v>
      </c>
      <c r="P28" s="43">
        <f t="shared" si="3"/>
        <v>399226070.15999997</v>
      </c>
    </row>
    <row r="29" spans="1:16" x14ac:dyDescent="0.25">
      <c r="A29" s="40" t="s">
        <v>17</v>
      </c>
      <c r="B29" s="29">
        <v>25491526</v>
      </c>
      <c r="C29" s="9"/>
      <c r="D29" s="1">
        <v>0</v>
      </c>
      <c r="E29" s="1">
        <f>'[1]CONS.AÑO 2024 MODIFICADO'!$H$219</f>
        <v>1621394.46</v>
      </c>
      <c r="F29" s="1">
        <v>116310</v>
      </c>
      <c r="G29" s="1">
        <v>3366036.2</v>
      </c>
      <c r="H29" s="1">
        <f>5648807.19+3913922.74</f>
        <v>9562729.9299999997</v>
      </c>
      <c r="I29" s="1">
        <f>[4]VS!H26</f>
        <v>251823.89</v>
      </c>
      <c r="J29" s="1">
        <v>251823.89</v>
      </c>
      <c r="K29" s="1">
        <v>1818951.96</v>
      </c>
      <c r="L29" s="1">
        <v>1751919.27</v>
      </c>
      <c r="M29" s="1">
        <f>[2]VS!$L$26</f>
        <v>61470</v>
      </c>
      <c r="N29" s="1">
        <f>'[3]CONS.AÑO 2024 MODIFICADO'!$J$219</f>
        <v>2497851.37</v>
      </c>
      <c r="O29" s="1">
        <f>[5]VS!N26</f>
        <v>2012367.12</v>
      </c>
      <c r="P29" s="16">
        <f t="shared" si="3"/>
        <v>23312678.090000004</v>
      </c>
    </row>
    <row r="30" spans="1:16" x14ac:dyDescent="0.25">
      <c r="A30" s="40" t="s">
        <v>18</v>
      </c>
      <c r="B30" s="29">
        <v>6000543</v>
      </c>
      <c r="C30" s="9">
        <v>-250000</v>
      </c>
      <c r="D30" s="1">
        <v>0</v>
      </c>
      <c r="E30" s="1">
        <f>'[1]CONS.AÑO 2024 MODIFICADO'!$H$231</f>
        <v>18526</v>
      </c>
      <c r="F30" s="1">
        <v>0</v>
      </c>
      <c r="G30" s="1">
        <v>0</v>
      </c>
      <c r="H30" s="1">
        <v>4740</v>
      </c>
      <c r="I30" s="1">
        <f>[4]VS!H27</f>
        <v>0</v>
      </c>
      <c r="J30" s="1">
        <v>511530</v>
      </c>
      <c r="K30" s="1">
        <v>0</v>
      </c>
      <c r="L30" s="1">
        <v>0</v>
      </c>
      <c r="M30" s="1">
        <f>[2]VS!$L$27</f>
        <v>679785.72</v>
      </c>
      <c r="N30" s="1">
        <f>'[3]CONS.AÑO 2024 MODIFICADO'!$J$231</f>
        <v>950</v>
      </c>
      <c r="O30" s="1">
        <f>[5]VS!N27</f>
        <v>0</v>
      </c>
      <c r="P30" s="16">
        <f t="shared" si="3"/>
        <v>1215531.72</v>
      </c>
    </row>
    <row r="31" spans="1:16" x14ac:dyDescent="0.25">
      <c r="A31" s="40" t="s">
        <v>19</v>
      </c>
      <c r="B31" s="29">
        <v>5716102</v>
      </c>
      <c r="C31" s="9">
        <v>500000</v>
      </c>
      <c r="D31" s="1">
        <v>942489.59999999998</v>
      </c>
      <c r="E31" s="1">
        <v>0</v>
      </c>
      <c r="F31" s="1">
        <v>0</v>
      </c>
      <c r="G31" s="1">
        <v>869129</v>
      </c>
      <c r="H31" s="1">
        <v>12949.32</v>
      </c>
      <c r="I31" s="1">
        <f>[4]VS!H28</f>
        <v>2231085</v>
      </c>
      <c r="J31" s="1">
        <f>607747.2+124796.8</f>
        <v>732544</v>
      </c>
      <c r="K31" s="1">
        <f>80004+171808+174050</f>
        <v>425862</v>
      </c>
      <c r="L31" s="1">
        <v>427605.45</v>
      </c>
      <c r="M31" s="1">
        <f>[2]VS!$L$28</f>
        <v>1631029.04</v>
      </c>
      <c r="N31" s="1">
        <f>'[3]CONS.AÑO 2024 MODIFICADO'!$J$240</f>
        <v>593610.80000000005</v>
      </c>
      <c r="O31" s="1">
        <f>[5]VS!N28</f>
        <v>1993265.81</v>
      </c>
      <c r="P31" s="16">
        <f t="shared" si="3"/>
        <v>9859570.0199999996</v>
      </c>
    </row>
    <row r="32" spans="1:16" x14ac:dyDescent="0.25">
      <c r="A32" s="40" t="s">
        <v>20</v>
      </c>
      <c r="B32" s="29">
        <f>130564050+170346050</f>
        <v>300910100</v>
      </c>
      <c r="C32" s="9">
        <v>0</v>
      </c>
      <c r="D32" s="1">
        <v>2132813</v>
      </c>
      <c r="E32" s="1">
        <f>'[1]CONS.AÑO 2024 MODIFICADO'!$H$253</f>
        <v>14186731.9</v>
      </c>
      <c r="F32" s="1">
        <v>2192727.36</v>
      </c>
      <c r="G32" s="1">
        <v>7541888.5999999996</v>
      </c>
      <c r="H32" s="1">
        <f>9059850+8045014.18</f>
        <v>17104864.18</v>
      </c>
      <c r="I32" s="1">
        <f>[4]VS!H29</f>
        <v>11963534.98</v>
      </c>
      <c r="J32" s="1">
        <v>7294211</v>
      </c>
      <c r="K32" s="1">
        <v>843277</v>
      </c>
      <c r="L32" s="1">
        <v>7113212.7999999998</v>
      </c>
      <c r="M32" s="1">
        <f>'[2]TRANSF CORRIENTE'!$L$29+[2]VS!$L$29</f>
        <v>6723052.6500000004</v>
      </c>
      <c r="N32" s="1">
        <f>'[3]CONS.AÑO 2024 MODIFICADO'!$J$253</f>
        <v>2874266.2</v>
      </c>
      <c r="O32" s="1">
        <f>[5]VS!N29</f>
        <v>9277684.9600000009</v>
      </c>
      <c r="P32" s="16">
        <f t="shared" si="3"/>
        <v>89248264.629999995</v>
      </c>
    </row>
    <row r="33" spans="1:16" x14ac:dyDescent="0.25">
      <c r="A33" s="40" t="s">
        <v>21</v>
      </c>
      <c r="B33" s="29">
        <v>2238424</v>
      </c>
      <c r="C33" s="9">
        <v>0</v>
      </c>
      <c r="D33" s="1">
        <v>0</v>
      </c>
      <c r="E33" s="1">
        <f>'[1]CONS.AÑO 2024 MODIFICADO'!$H$258</f>
        <v>25399.5</v>
      </c>
      <c r="F33" s="1">
        <v>21800</v>
      </c>
      <c r="G33" s="1">
        <v>0</v>
      </c>
      <c r="H33" s="1">
        <v>462799.64</v>
      </c>
      <c r="I33" s="1">
        <f>[4]VS!H30</f>
        <v>97425.52</v>
      </c>
      <c r="J33" s="1">
        <v>8925.52</v>
      </c>
      <c r="K33" s="1">
        <v>0</v>
      </c>
      <c r="L33" s="1">
        <v>65988.58</v>
      </c>
      <c r="M33" s="1">
        <f>[2]VS!$L$30</f>
        <v>204425</v>
      </c>
      <c r="N33" s="1">
        <f>'[3]CONS.AÑO 2024 MODIFICADO'!$J$258</f>
        <v>51151.979999999996</v>
      </c>
      <c r="O33" s="1">
        <f>[5]VS!N30</f>
        <v>137142.20000000001</v>
      </c>
      <c r="P33" s="16">
        <f t="shared" si="3"/>
        <v>1075057.94</v>
      </c>
    </row>
    <row r="34" spans="1:16" x14ac:dyDescent="0.25">
      <c r="A34" s="40" t="s">
        <v>22</v>
      </c>
      <c r="B34" s="29">
        <v>2072158</v>
      </c>
      <c r="C34" s="9">
        <v>0</v>
      </c>
      <c r="D34" s="1">
        <v>0</v>
      </c>
      <c r="E34" s="1">
        <f>'[1]CONS.AÑO 2024 MODIFICADO'!$H$269</f>
        <v>1062</v>
      </c>
      <c r="F34" s="1">
        <v>940.01</v>
      </c>
      <c r="G34" s="1">
        <v>26833.200000000001</v>
      </c>
      <c r="H34" s="1">
        <v>17656</v>
      </c>
      <c r="I34" s="1">
        <f>[4]VS!H31</f>
        <v>404613.5</v>
      </c>
      <c r="J34" s="1">
        <f>300.9+88500+31323.1+284489.5</f>
        <v>404613.5</v>
      </c>
      <c r="K34" s="1">
        <v>0</v>
      </c>
      <c r="L34" s="1">
        <v>192379.37</v>
      </c>
      <c r="M34" s="1">
        <f>[2]VS!$L$31</f>
        <v>86486.02</v>
      </c>
      <c r="N34" s="1">
        <f>'[3]CONS.AÑO 2024 MODIFICADO'!$J$269</f>
        <v>2100.02</v>
      </c>
      <c r="O34" s="1">
        <f>[5]VS!N31</f>
        <v>3001.8</v>
      </c>
      <c r="P34" s="16">
        <f t="shared" si="3"/>
        <v>1139685.42</v>
      </c>
    </row>
    <row r="35" spans="1:16" x14ac:dyDescent="0.25">
      <c r="A35" s="40" t="s">
        <v>23</v>
      </c>
      <c r="B35" s="29">
        <v>89301280</v>
      </c>
      <c r="C35" s="9"/>
      <c r="D35" s="1">
        <v>1247158.54</v>
      </c>
      <c r="E35" s="1">
        <f>'[1]CONS.AÑO 2024 MODIFICADO'!$H$294</f>
        <v>12111867.850000001</v>
      </c>
      <c r="F35" s="1">
        <v>190200</v>
      </c>
      <c r="G35" s="1">
        <v>3582752.88</v>
      </c>
      <c r="H35" s="1">
        <v>8329008.71</v>
      </c>
      <c r="I35" s="1">
        <f>[4]VS!H32</f>
        <v>3526276.8600000003</v>
      </c>
      <c r="J35" s="1">
        <f>1431916.98+17500+5357.2+67260+247250.66</f>
        <v>1769284.8399999999</v>
      </c>
      <c r="K35" s="1">
        <f>400000+37020</f>
        <v>437020</v>
      </c>
      <c r="L35" s="1">
        <v>8807257.8900000006</v>
      </c>
      <c r="M35" s="1">
        <f>'[2]TRANSF CORRIENTE'!$L$32+[2]VS!$L$32</f>
        <v>11414635.809999999</v>
      </c>
      <c r="N35" s="1">
        <f>'[3]CONS.AÑO 2024 MODIFICADO'!$J$294</f>
        <v>1939439</v>
      </c>
      <c r="O35" s="1">
        <f>[5]VS!N32</f>
        <v>4107526.1900000004</v>
      </c>
      <c r="P35" s="16">
        <f t="shared" si="3"/>
        <v>57462428.569999993</v>
      </c>
    </row>
    <row r="36" spans="1:16" x14ac:dyDescent="0.25">
      <c r="A36" s="40" t="s">
        <v>38</v>
      </c>
      <c r="B36" s="29">
        <v>0</v>
      </c>
      <c r="C36" s="9">
        <v>0</v>
      </c>
      <c r="D36" s="1">
        <v>0</v>
      </c>
      <c r="E36" s="1">
        <f>'[1]CONS.AÑO 2024 MODIFICADO'!$H$312</f>
        <v>0</v>
      </c>
      <c r="F36" s="1">
        <v>0</v>
      </c>
      <c r="G36" s="1">
        <v>0</v>
      </c>
      <c r="H36" s="1">
        <v>0</v>
      </c>
      <c r="I36" s="1">
        <f>[4]VS!H33</f>
        <v>0</v>
      </c>
      <c r="J36" s="1">
        <v>0</v>
      </c>
      <c r="K36" s="1">
        <v>0</v>
      </c>
      <c r="L36" s="1">
        <v>0</v>
      </c>
      <c r="M36" s="1">
        <f>[2]VS!$L$33</f>
        <v>0</v>
      </c>
      <c r="N36" s="1">
        <v>0</v>
      </c>
      <c r="O36" s="1">
        <f>[5]VS!N33</f>
        <v>0</v>
      </c>
      <c r="P36" s="16">
        <f t="shared" si="3"/>
        <v>0</v>
      </c>
    </row>
    <row r="37" spans="1:16" x14ac:dyDescent="0.25">
      <c r="A37" s="40" t="s">
        <v>24</v>
      </c>
      <c r="B37" s="29">
        <f>125964050+243341940</f>
        <v>369305990</v>
      </c>
      <c r="C37" s="9">
        <v>250000</v>
      </c>
      <c r="D37" s="1">
        <v>13994890.43</v>
      </c>
      <c r="E37" s="1">
        <f>'[1]CONS.AÑO 2024 MODIFICADO'!$H$317</f>
        <v>26160218.02</v>
      </c>
      <c r="F37" s="1">
        <v>8632734.7100000009</v>
      </c>
      <c r="G37" s="1">
        <v>22206583.25</v>
      </c>
      <c r="H37" s="1">
        <f>3544985.44+18131496.76</f>
        <v>21676482.200000003</v>
      </c>
      <c r="I37" s="1">
        <f>[4]VS!H34</f>
        <v>24891795.019999996</v>
      </c>
      <c r="J37" s="1">
        <f>465102.9+22297168.19+1246318.83+146042.7+96819+1982.4</f>
        <v>24253434.02</v>
      </c>
      <c r="K37" s="1">
        <f>524288.16+4457521.04</f>
        <v>4981809.2</v>
      </c>
      <c r="L37" s="1">
        <v>16651219.789999999</v>
      </c>
      <c r="M37" s="1">
        <f>'[2]TRANSF CORRIENTE'!$L$34+[2]VS!$L$34</f>
        <v>8500974.6400000025</v>
      </c>
      <c r="N37" s="1">
        <f>'[3]CONS.AÑO 2024 MODIFICADO'!$J$317</f>
        <v>23837061.979999997</v>
      </c>
      <c r="O37" s="1">
        <f>[5]VS!N34</f>
        <v>20125650.510000002</v>
      </c>
      <c r="P37" s="16">
        <f t="shared" si="3"/>
        <v>215912853.76999998</v>
      </c>
    </row>
    <row r="38" spans="1:16" x14ac:dyDescent="0.25">
      <c r="A38" s="37" t="s">
        <v>25</v>
      </c>
      <c r="B38" s="12">
        <f>B39+B40+B41+B42+B43+B44+B45</f>
        <v>250000</v>
      </c>
      <c r="C38" s="12">
        <f>C39+C40+C41+C42+C43+C44+C45</f>
        <v>0</v>
      </c>
      <c r="D38" s="8">
        <f>SUM(D39:D45)</f>
        <v>0</v>
      </c>
      <c r="E38" s="8">
        <f t="shared" ref="E38:O38" si="6">SUM(E39:E45)</f>
        <v>0</v>
      </c>
      <c r="F38" s="8">
        <f t="shared" si="6"/>
        <v>174000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209772</v>
      </c>
      <c r="L38" s="8">
        <f t="shared" si="6"/>
        <v>155636.9</v>
      </c>
      <c r="M38" s="8">
        <f t="shared" si="6"/>
        <v>124717.5</v>
      </c>
      <c r="N38" s="8">
        <f t="shared" si="6"/>
        <v>0</v>
      </c>
      <c r="O38" s="8">
        <f t="shared" si="6"/>
        <v>0</v>
      </c>
      <c r="P38" s="18">
        <f>SUM(P39:PD45)</f>
        <v>664126.4</v>
      </c>
    </row>
    <row r="39" spans="1:16" x14ac:dyDescent="0.25">
      <c r="A39" s="40" t="s">
        <v>26</v>
      </c>
      <c r="B39" s="29">
        <v>250000</v>
      </c>
      <c r="C39" s="9"/>
      <c r="D39" s="1">
        <v>0</v>
      </c>
      <c r="E39" s="1">
        <v>0</v>
      </c>
      <c r="F39" s="1">
        <v>174000</v>
      </c>
      <c r="G39" s="1"/>
      <c r="H39" s="1"/>
      <c r="I39" s="1"/>
      <c r="J39" s="1"/>
      <c r="K39" s="1">
        <v>209772</v>
      </c>
      <c r="L39" s="1">
        <v>155636.9</v>
      </c>
      <c r="M39" s="1">
        <v>124717.5</v>
      </c>
      <c r="N39" s="1"/>
      <c r="O39" s="1"/>
      <c r="P39" s="16">
        <f t="shared" si="3"/>
        <v>664126.4</v>
      </c>
    </row>
    <row r="40" spans="1:16" x14ac:dyDescent="0.25">
      <c r="A40" s="40" t="s">
        <v>39</v>
      </c>
      <c r="B40" s="29">
        <v>0</v>
      </c>
      <c r="C40" s="9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 x14ac:dyDescent="0.25">
      <c r="A41" s="40" t="s">
        <v>40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 x14ac:dyDescent="0.25">
      <c r="A42" s="40" t="s">
        <v>41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 x14ac:dyDescent="0.25">
      <c r="A43" s="40" t="s">
        <v>42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 x14ac:dyDescent="0.25">
      <c r="A44" s="40" t="s">
        <v>27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 x14ac:dyDescent="0.25">
      <c r="A45" s="40" t="s">
        <v>43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 x14ac:dyDescent="0.25">
      <c r="A46" s="37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 x14ac:dyDescent="0.25">
      <c r="A47" s="40" t="s">
        <v>45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 x14ac:dyDescent="0.25">
      <c r="A48" s="40" t="s">
        <v>46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 x14ac:dyDescent="0.25">
      <c r="A49" s="40" t="s">
        <v>47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 x14ac:dyDescent="0.25">
      <c r="A50" s="40" t="s">
        <v>48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 x14ac:dyDescent="0.25">
      <c r="A51" s="40" t="s">
        <v>49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 x14ac:dyDescent="0.25">
      <c r="A52" s="40" t="s">
        <v>50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 x14ac:dyDescent="0.25">
      <c r="A53" s="40" t="s">
        <v>51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 x14ac:dyDescent="0.25">
      <c r="A54" s="37" t="s">
        <v>28</v>
      </c>
      <c r="B54" s="12">
        <f>B55+B56+B57+B58+B59+B60+B61+B62+B63</f>
        <v>141196938</v>
      </c>
      <c r="C54" s="12">
        <f>C55+C56+C57+C58+C59+C60+C61+C62+C63</f>
        <v>-500000</v>
      </c>
      <c r="D54" s="8">
        <f>SUM(D55:D63)</f>
        <v>0</v>
      </c>
      <c r="E54" s="8">
        <f t="shared" ref="E54:O54" si="9">SUM(E55:E63)</f>
        <v>5892803.4800000004</v>
      </c>
      <c r="F54" s="8">
        <f t="shared" si="9"/>
        <v>730297.98</v>
      </c>
      <c r="G54" s="8">
        <f t="shared" si="9"/>
        <v>2864094.96</v>
      </c>
      <c r="H54" s="8">
        <f t="shared" si="9"/>
        <v>8157331.0499999998</v>
      </c>
      <c r="I54" s="8">
        <f t="shared" si="9"/>
        <v>3064639.75</v>
      </c>
      <c r="J54" s="8">
        <f t="shared" si="9"/>
        <v>340000</v>
      </c>
      <c r="K54" s="8">
        <f t="shared" si="9"/>
        <v>2459831.37</v>
      </c>
      <c r="L54" s="8">
        <f t="shared" si="9"/>
        <v>474360</v>
      </c>
      <c r="M54" s="8">
        <f t="shared" si="9"/>
        <v>8500214.6300000008</v>
      </c>
      <c r="N54" s="8">
        <f t="shared" si="9"/>
        <v>2172825.3899999997</v>
      </c>
      <c r="O54" s="8">
        <f t="shared" si="9"/>
        <v>3282904.83</v>
      </c>
      <c r="P54" s="18">
        <f>SUM(P55:P63)</f>
        <v>37939303.439999998</v>
      </c>
    </row>
    <row r="55" spans="1:16" ht="15" customHeight="1" x14ac:dyDescent="0.25">
      <c r="A55" s="40" t="s">
        <v>29</v>
      </c>
      <c r="B55" s="29">
        <v>17377495</v>
      </c>
      <c r="C55" s="9"/>
      <c r="D55" s="1"/>
      <c r="E55" s="1">
        <f>'[1]CONS.AÑO 2024 MODIFICADO'!$H$349</f>
        <v>204606.58</v>
      </c>
      <c r="F55" s="1">
        <v>101167.98</v>
      </c>
      <c r="G55" s="1">
        <v>798867.46</v>
      </c>
      <c r="H55" s="1">
        <v>1520064.55</v>
      </c>
      <c r="I55" s="1">
        <f>[4]VS!H52</f>
        <v>367662.6</v>
      </c>
      <c r="J55" s="1">
        <v>0</v>
      </c>
      <c r="K55" s="1">
        <f>3764.2+9550.92</f>
        <v>13315.119999999999</v>
      </c>
      <c r="L55" s="1">
        <v>0</v>
      </c>
      <c r="M55" s="1">
        <f>[2]VS!$L$52</f>
        <v>96106.14</v>
      </c>
      <c r="N55" s="1">
        <f>'[3]CONS.AÑO 2024 MODIFICADO'!$J$349</f>
        <v>444303.51</v>
      </c>
      <c r="O55" s="1">
        <f>[5]VS!N52</f>
        <v>1798575</v>
      </c>
      <c r="P55" s="16">
        <f t="shared" si="8"/>
        <v>5344668.9400000004</v>
      </c>
    </row>
    <row r="56" spans="1:16" x14ac:dyDescent="0.25">
      <c r="A56" s="40" t="s">
        <v>30</v>
      </c>
      <c r="B56" s="29">
        <v>5668530</v>
      </c>
      <c r="C56" s="9"/>
      <c r="D56" s="1"/>
      <c r="E56" s="1">
        <v>0</v>
      </c>
      <c r="F56" s="1">
        <v>0</v>
      </c>
      <c r="G56" s="1">
        <v>0</v>
      </c>
      <c r="H56" s="1">
        <v>0</v>
      </c>
      <c r="I56" s="1">
        <f>[4]VS!H53</f>
        <v>0</v>
      </c>
      <c r="J56" s="1"/>
      <c r="K56" s="1">
        <v>0</v>
      </c>
      <c r="L56" s="1">
        <v>0</v>
      </c>
      <c r="M56" s="1"/>
      <c r="N56" s="1">
        <v>0</v>
      </c>
      <c r="O56" s="1">
        <f>[5]VS!N53</f>
        <v>268470</v>
      </c>
      <c r="P56" s="16">
        <f t="shared" si="8"/>
        <v>268470</v>
      </c>
    </row>
    <row r="57" spans="1:16" x14ac:dyDescent="0.25">
      <c r="A57" s="40" t="s">
        <v>31</v>
      </c>
      <c r="B57" s="29">
        <v>98876977</v>
      </c>
      <c r="C57" s="9">
        <f>-300000-500000</f>
        <v>-800000</v>
      </c>
      <c r="D57" s="1"/>
      <c r="E57" s="1">
        <f>'[1]CONS.AÑO 2024 MODIFICADO'!$H$369</f>
        <v>5631154.1500000004</v>
      </c>
      <c r="F57" s="1">
        <v>629130</v>
      </c>
      <c r="G57" s="1">
        <v>1159447.5</v>
      </c>
      <c r="H57" s="1">
        <f>611004+5893032.5</f>
        <v>6504036.5</v>
      </c>
      <c r="I57" s="1">
        <f>[4]VS!H54</f>
        <v>2446516.25</v>
      </c>
      <c r="J57" s="1">
        <v>0</v>
      </c>
      <c r="K57" s="1">
        <v>2446516.25</v>
      </c>
      <c r="L57" s="1">
        <v>0</v>
      </c>
      <c r="M57" s="1">
        <f>'[2]TRANSF CORRIENTE'!$L$54+[2]VS!$L$54</f>
        <v>8404108.4900000002</v>
      </c>
      <c r="N57" s="1">
        <f>'[3]CONS.AÑO 2024 MODIFICADO'!$J$369</f>
        <v>1728521.88</v>
      </c>
      <c r="O57" s="1">
        <f>[5]VS!N54</f>
        <v>831695.86</v>
      </c>
      <c r="P57" s="16">
        <f t="shared" si="8"/>
        <v>29781126.879999999</v>
      </c>
    </row>
    <row r="58" spans="1:16" x14ac:dyDescent="0.25">
      <c r="A58" s="40" t="s">
        <v>32</v>
      </c>
      <c r="B58" s="29">
        <v>10227340</v>
      </c>
      <c r="C58" s="9"/>
      <c r="D58" s="1"/>
      <c r="E58" s="1">
        <v>0</v>
      </c>
      <c r="F58" s="1">
        <v>0</v>
      </c>
      <c r="G58" s="1">
        <v>0</v>
      </c>
      <c r="H58" s="1">
        <v>31860</v>
      </c>
      <c r="I58" s="1">
        <f>[4]VS!H55</f>
        <v>0</v>
      </c>
      <c r="J58" s="1"/>
      <c r="K58" s="1"/>
      <c r="L58" s="1">
        <v>0</v>
      </c>
      <c r="M58" s="1"/>
      <c r="N58" s="1"/>
      <c r="O58" s="1">
        <f>[5]VS!N55</f>
        <v>0</v>
      </c>
      <c r="P58" s="16">
        <f t="shared" si="8"/>
        <v>31860</v>
      </c>
    </row>
    <row r="59" spans="1:16" x14ac:dyDescent="0.25">
      <c r="A59" s="40" t="s">
        <v>33</v>
      </c>
      <c r="B59" s="29">
        <v>7446596</v>
      </c>
      <c r="C59" s="9">
        <v>300000</v>
      </c>
      <c r="D59" s="1"/>
      <c r="E59" s="1">
        <f>'[1]CONS.AÑO 2024 MODIFICADO'!$H$395</f>
        <v>57042.75</v>
      </c>
      <c r="F59" s="1">
        <v>0</v>
      </c>
      <c r="G59" s="1">
        <v>905780</v>
      </c>
      <c r="H59" s="1">
        <v>101370</v>
      </c>
      <c r="I59" s="1">
        <f>[4]VS!H56</f>
        <v>250460.9</v>
      </c>
      <c r="J59" s="1">
        <v>340000</v>
      </c>
      <c r="K59" s="1"/>
      <c r="L59" s="1">
        <v>474360</v>
      </c>
      <c r="M59" s="1"/>
      <c r="N59" s="1"/>
      <c r="O59" s="1">
        <f>[5]VS!N56</f>
        <v>234163.97</v>
      </c>
      <c r="P59" s="16">
        <f t="shared" si="8"/>
        <v>2363177.62</v>
      </c>
    </row>
    <row r="60" spans="1:16" x14ac:dyDescent="0.25">
      <c r="A60" s="40" t="s">
        <v>52</v>
      </c>
      <c r="B60" s="29">
        <v>600000</v>
      </c>
      <c r="C60" s="9">
        <v>0</v>
      </c>
      <c r="D60" s="1"/>
      <c r="E60" s="1">
        <v>0</v>
      </c>
      <c r="F60" s="1">
        <v>0</v>
      </c>
      <c r="G60" s="1"/>
      <c r="H60" s="1">
        <v>0</v>
      </c>
      <c r="I60" s="1">
        <f>[4]VS!H57</f>
        <v>0</v>
      </c>
      <c r="J60" s="1"/>
      <c r="K60" s="1"/>
      <c r="L60" s="1">
        <v>0</v>
      </c>
      <c r="M60" s="1"/>
      <c r="N60" s="1"/>
      <c r="O60" s="1">
        <f>[5]VS!N57</f>
        <v>0</v>
      </c>
      <c r="P60" s="16">
        <f t="shared" si="8"/>
        <v>0</v>
      </c>
    </row>
    <row r="61" spans="1:16" x14ac:dyDescent="0.25">
      <c r="A61" s="40" t="s">
        <v>53</v>
      </c>
      <c r="B61" s="29">
        <v>0</v>
      </c>
      <c r="C61" s="9">
        <v>0</v>
      </c>
      <c r="D61" s="1"/>
      <c r="E61" s="1">
        <v>0</v>
      </c>
      <c r="F61" s="1">
        <v>0</v>
      </c>
      <c r="G61" s="1"/>
      <c r="H61" s="1">
        <v>0</v>
      </c>
      <c r="I61" s="1">
        <f>[4]VS!H58</f>
        <v>0</v>
      </c>
      <c r="J61" s="1"/>
      <c r="K61" s="1"/>
      <c r="L61" s="1">
        <v>0</v>
      </c>
      <c r="M61" s="1"/>
      <c r="N61" s="1"/>
      <c r="O61" s="1">
        <f>[5]VS!N58</f>
        <v>0</v>
      </c>
      <c r="P61" s="16">
        <f t="shared" si="8"/>
        <v>0</v>
      </c>
    </row>
    <row r="62" spans="1:16" x14ac:dyDescent="0.25">
      <c r="A62" s="40" t="s">
        <v>34</v>
      </c>
      <c r="B62" s="29">
        <v>1000000</v>
      </c>
      <c r="C62" s="9">
        <v>0</v>
      </c>
      <c r="D62" s="1"/>
      <c r="E62" s="1">
        <v>0</v>
      </c>
      <c r="F62" s="1">
        <v>0</v>
      </c>
      <c r="G62" s="1"/>
      <c r="H62" s="1">
        <v>0</v>
      </c>
      <c r="I62" s="1">
        <f>[4]VS!H59</f>
        <v>0</v>
      </c>
      <c r="J62" s="1"/>
      <c r="K62" s="1"/>
      <c r="L62" s="1">
        <v>0</v>
      </c>
      <c r="M62" s="1"/>
      <c r="N62" s="1"/>
      <c r="O62" s="1">
        <f>[5]VS!N59</f>
        <v>150000</v>
      </c>
      <c r="P62" s="16">
        <f t="shared" si="8"/>
        <v>150000</v>
      </c>
    </row>
    <row r="63" spans="1:16" x14ac:dyDescent="0.25">
      <c r="A63" s="40" t="s">
        <v>54</v>
      </c>
      <c r="B63" s="29">
        <v>0</v>
      </c>
      <c r="C63" s="9">
        <v>0</v>
      </c>
      <c r="D63" s="1"/>
      <c r="E63" s="1">
        <v>0</v>
      </c>
      <c r="F63" s="1">
        <v>0</v>
      </c>
      <c r="G63" s="1"/>
      <c r="H63" s="1">
        <v>0</v>
      </c>
      <c r="I63" s="1">
        <f>[4]VS!H60</f>
        <v>0</v>
      </c>
      <c r="J63" s="1"/>
      <c r="K63" s="1"/>
      <c r="L63" s="1">
        <v>0</v>
      </c>
      <c r="M63" s="1"/>
      <c r="N63" s="1"/>
      <c r="O63" s="1">
        <f>[5]VS!N60</f>
        <v>0</v>
      </c>
      <c r="P63" s="16">
        <f t="shared" si="8"/>
        <v>0</v>
      </c>
    </row>
    <row r="64" spans="1:16" x14ac:dyDescent="0.25">
      <c r="A64" s="37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 x14ac:dyDescent="0.25">
      <c r="A65" s="40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 x14ac:dyDescent="0.25">
      <c r="A66" s="40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 x14ac:dyDescent="0.25">
      <c r="A67" s="40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 x14ac:dyDescent="0.25">
      <c r="A68" s="40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 x14ac:dyDescent="0.25">
      <c r="A69" s="37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0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 x14ac:dyDescent="0.25">
      <c r="A71" s="40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 x14ac:dyDescent="0.25">
      <c r="A72" s="37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0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 x14ac:dyDescent="0.25">
      <c r="A74" s="40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 x14ac:dyDescent="0.25">
      <c r="A75" s="40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 x14ac:dyDescent="0.25">
      <c r="A76" s="38" t="s">
        <v>35</v>
      </c>
      <c r="B76" s="6">
        <f>B12+B18+B28+B38+B46+B54+B64+B69+B72</f>
        <v>1856111902</v>
      </c>
      <c r="C76" s="6">
        <f>C12+C18+C28+C38+C46+C54+C64+C69+C72</f>
        <v>0</v>
      </c>
      <c r="D76" s="6">
        <f>D12+D18+D28+D38+D46+D54+D64+D69+D72</f>
        <v>61496147.729999997</v>
      </c>
      <c r="E76" s="6">
        <f t="shared" ref="E76:P76" si="17">E12+E18+E28+E38+E46+E54+E64+E69+E72</f>
        <v>97021497.810000017</v>
      </c>
      <c r="F76" s="6">
        <f t="shared" si="17"/>
        <v>54110064.459999993</v>
      </c>
      <c r="G76" s="6">
        <f t="shared" si="17"/>
        <v>112436572.56999998</v>
      </c>
      <c r="H76" s="6">
        <f t="shared" si="17"/>
        <v>107042083.59999999</v>
      </c>
      <c r="I76" s="6">
        <f t="shared" si="17"/>
        <v>101850863.06</v>
      </c>
      <c r="J76" s="6">
        <f t="shared" si="17"/>
        <v>72159721.459999993</v>
      </c>
      <c r="K76" s="6">
        <f t="shared" si="17"/>
        <v>47534849.139999993</v>
      </c>
      <c r="L76" s="6">
        <f t="shared" si="17"/>
        <v>81785738.409999996</v>
      </c>
      <c r="M76" s="6">
        <f t="shared" si="17"/>
        <v>136191866.56999999</v>
      </c>
      <c r="N76" s="6">
        <f t="shared" si="17"/>
        <v>71975541.239999995</v>
      </c>
      <c r="O76" s="6">
        <f t="shared" si="17"/>
        <v>106449972.86</v>
      </c>
      <c r="P76" s="6">
        <f t="shared" si="17"/>
        <v>1050054918.9099998</v>
      </c>
      <c r="Q76" s="19"/>
    </row>
    <row r="77" spans="1:17" x14ac:dyDescent="0.25">
      <c r="A77" s="39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 x14ac:dyDescent="0.25">
      <c r="A78" s="39" t="s">
        <v>68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 x14ac:dyDescent="0.25">
      <c r="A79" s="40" t="s">
        <v>69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 x14ac:dyDescent="0.25">
      <c r="A80" s="40" t="s">
        <v>70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 x14ac:dyDescent="0.25">
      <c r="A81" s="39" t="s">
        <v>71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 x14ac:dyDescent="0.25">
      <c r="A82" s="40" t="s">
        <v>72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 x14ac:dyDescent="0.25">
      <c r="A83" s="40" t="s">
        <v>73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 x14ac:dyDescent="0.25">
      <c r="A84" s="39" t="s">
        <v>74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 x14ac:dyDescent="0.25">
      <c r="A85" s="40" t="s">
        <v>75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 x14ac:dyDescent="0.25">
      <c r="A88" s="28" t="s">
        <v>77</v>
      </c>
      <c r="B88" s="41">
        <f>B76+B86</f>
        <v>1856111902</v>
      </c>
      <c r="C88" s="41">
        <f>C76+C86</f>
        <v>0</v>
      </c>
      <c r="D88" s="41">
        <f t="shared" ref="D88:O88" si="19">D76+D86</f>
        <v>61496147.729999997</v>
      </c>
      <c r="E88" s="41">
        <f t="shared" si="19"/>
        <v>97021497.810000017</v>
      </c>
      <c r="F88" s="41">
        <f t="shared" si="19"/>
        <v>54110064.459999993</v>
      </c>
      <c r="G88" s="41">
        <f t="shared" si="19"/>
        <v>112436572.56999998</v>
      </c>
      <c r="H88" s="41">
        <f t="shared" si="19"/>
        <v>107042083.59999999</v>
      </c>
      <c r="I88" s="42">
        <f t="shared" si="19"/>
        <v>101850863.06</v>
      </c>
      <c r="J88" s="41">
        <f t="shared" si="19"/>
        <v>72159721.459999993</v>
      </c>
      <c r="K88" s="41">
        <f t="shared" si="19"/>
        <v>47534849.139999993</v>
      </c>
      <c r="L88" s="41">
        <f t="shared" si="19"/>
        <v>81785738.409999996</v>
      </c>
      <c r="M88" s="41">
        <f t="shared" si="19"/>
        <v>136191866.56999999</v>
      </c>
      <c r="N88" s="41">
        <f t="shared" si="19"/>
        <v>71975541.239999995</v>
      </c>
      <c r="O88" s="41">
        <f t="shared" si="19"/>
        <v>106449972.86</v>
      </c>
      <c r="P88" s="41">
        <f>P76+P86</f>
        <v>1050054918.9099998</v>
      </c>
    </row>
    <row r="90" spans="1:16" x14ac:dyDescent="0.25">
      <c r="N90" s="46"/>
    </row>
    <row r="92" spans="1:16" x14ac:dyDescent="0.25">
      <c r="A92" s="31" t="s">
        <v>96</v>
      </c>
    </row>
    <row r="93" spans="1:16" x14ac:dyDescent="0.25">
      <c r="A93" s="30" t="s">
        <v>95</v>
      </c>
    </row>
    <row r="94" spans="1:16" x14ac:dyDescent="0.25">
      <c r="A94" s="31" t="s">
        <v>97</v>
      </c>
    </row>
    <row r="95" spans="1:16" x14ac:dyDescent="0.25">
      <c r="A95" s="32" t="s">
        <v>98</v>
      </c>
    </row>
    <row r="96" spans="1:16" x14ac:dyDescent="0.25">
      <c r="A96" s="30" t="s">
        <v>99</v>
      </c>
    </row>
    <row r="97" spans="1:7" x14ac:dyDescent="0.25">
      <c r="A97" s="31" t="s">
        <v>100</v>
      </c>
    </row>
    <row r="98" spans="1:7" x14ac:dyDescent="0.25">
      <c r="A98" s="32" t="s">
        <v>101</v>
      </c>
    </row>
    <row r="99" spans="1:7" x14ac:dyDescent="0.25">
      <c r="A99" s="32" t="s">
        <v>102</v>
      </c>
    </row>
    <row r="100" spans="1:7" x14ac:dyDescent="0.25">
      <c r="A100" s="32" t="s">
        <v>103</v>
      </c>
    </row>
    <row r="101" spans="1:7" x14ac:dyDescent="0.25">
      <c r="A101" s="30" t="s">
        <v>104</v>
      </c>
    </row>
    <row r="109" spans="1:7" x14ac:dyDescent="0.25">
      <c r="A109" s="33"/>
      <c r="B109" s="10"/>
      <c r="C109" s="10"/>
      <c r="D109" s="10"/>
      <c r="E109" s="34" t="s">
        <v>106</v>
      </c>
      <c r="F109" s="34" t="s">
        <v>105</v>
      </c>
      <c r="G109" s="34"/>
    </row>
    <row r="110" spans="1:7" x14ac:dyDescent="0.25">
      <c r="A110" s="33"/>
      <c r="B110" s="10"/>
      <c r="C110" s="10"/>
      <c r="D110" s="11"/>
      <c r="E110" s="35"/>
      <c r="F110" s="33" t="s">
        <v>92</v>
      </c>
      <c r="G110" s="35"/>
    </row>
  </sheetData>
  <sheetProtection sheet="1"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DICIEMBRE-2024 (OAI)</vt:lpstr>
      <vt:lpstr>'EJECUCION DICIEMBRE-2024 (OAI)'!Área_de_impresión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2024-09-02T13:52:53Z</cp:lastPrinted>
  <dcterms:created xsi:type="dcterms:W3CDTF">2018-04-17T18:57:16Z</dcterms:created>
  <dcterms:modified xsi:type="dcterms:W3CDTF">2025-01-28T19:35:05Z</dcterms:modified>
</cp:coreProperties>
</file>