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F39EA457-B7BF-4997-BF16-8411964E1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JULIO-2025 (OAI)" sheetId="19" r:id="rId1"/>
  </sheets>
  <externalReferences>
    <externalReference r:id="rId2"/>
    <externalReference r:id="rId3"/>
  </externalReferences>
  <definedNames>
    <definedName name="_xlnm.Print_Area" localSheetId="0">'EJECUCION JULIO-2025 (OAI)'!$A$1:$P$113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9" l="1"/>
  <c r="J57" i="19"/>
  <c r="J55" i="19"/>
  <c r="J39" i="19"/>
  <c r="J37" i="19"/>
  <c r="J35" i="19"/>
  <c r="J34" i="19"/>
  <c r="J32" i="19"/>
  <c r="J31" i="19"/>
  <c r="J30" i="19"/>
  <c r="J29" i="19"/>
  <c r="J27" i="19"/>
  <c r="J26" i="19"/>
  <c r="J25" i="19"/>
  <c r="J24" i="19"/>
  <c r="J23" i="19"/>
  <c r="J22" i="19"/>
  <c r="J19" i="19"/>
  <c r="J17" i="19"/>
  <c r="J14" i="19"/>
  <c r="J13" i="19"/>
  <c r="J120" i="19" l="1"/>
  <c r="J119" i="19"/>
  <c r="C37" i="19"/>
  <c r="C59" i="19"/>
  <c r="C35" i="19"/>
  <c r="C14" i="19"/>
  <c r="C34" i="19"/>
  <c r="C31" i="19"/>
  <c r="B12" i="19"/>
  <c r="C54" i="19"/>
  <c r="B33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J38" i="19" l="1"/>
  <c r="C28" i="19" l="1"/>
  <c r="C18" i="19"/>
  <c r="C12" i="19"/>
  <c r="C72" i="19"/>
  <c r="C69" i="19"/>
  <c r="C6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<sst xmlns="http://schemas.openxmlformats.org/spreadsheetml/2006/main" count="108" uniqueCount="108">
  <si>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SERVICIO NACIONAL DE SALUD</t>
  </si>
  <si>
    <t>Ejecución Presupuestaria y Aplicacion Financiera Julio  2025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</si>
  <si>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</si>
  <si>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</si>
  <si>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</si>
  <si>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</si>
  <si>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</si>
  <si>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</si>
  <si>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</si>
  <si>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</si>
  <si>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</si>
  <si>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</si>
  <si>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</si>
  <si>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</si>
  <si>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</si>
  <si>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</si>
  <si>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</si>
  <si>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</si>
  <si>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</si>
  <si>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</si>
  <si>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</si>
  <si>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</si>
  <si>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</si>
  <si>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</si>
  <si>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</si>
  <si>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</si>
  <si>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</si>
  <si>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</si>
  <si>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</si>
  <si>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</si>
  <si>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</si>
  <si>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</si>
  <si>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</si>
  <si>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</si>
  <si>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</si>
  <si>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</si>
  <si>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</si>
  <si>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</si>
  <si>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</si>
  <si>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</si>
  <si>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</si>
  <si>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</si>
  <si>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</si>
  <si>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</si>
  <si>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</si>
  <si>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</si>
  <si>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</si>
  <si>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</si>
  <si>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</si>
  <si>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</si>
  <si>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</si>
  <si>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</si>
  <si>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</si>
  <si>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</si>
  <si>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</si>
  <si>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</si>
  <si>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</si>
  <si>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</si>
  <si>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</si>
  <si>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</si>
  <si>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</si>
  <si>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</si>
  <si>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</si>
  <si>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</si>
  <si>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</si>
  <si>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</si>
  <si>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</si>
  <si>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</si>
  <si>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</si>
  <si>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</si>
  <si>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</si>
  <si>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</si>
  <si>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</si>
  <si>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</si>
  <si>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</si>
  <si>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</si>
  <si>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</si>
  <si>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</si>
  <si>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</si>
  <si>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</si>
  <si>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</si>
  <si>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</si>
  <si>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</si>
  <si>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</si>
  <si>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</si>
  <si>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</si>
  <si>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</si>
  <si>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</si>
  <si>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</si>
  <si>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</si>
  <si>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</si>
  <si>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</si>
  <si>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</si>
  <si>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</si>
  <si>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</si>
  <si>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</si>
  <si>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</si>
  <si>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</si>
  <si>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</si>
  <si>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</si>
  <si>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</si>
  <si>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</si>
  <si>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</si>
  <si>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</si>
  <si>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</si>
  <si>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>Verificado por:</t>
  </si>
  <si>
    <t xml:space="preserve">  Lic. Francisco Villabrille</t>
  </si>
  <si>
    <t xml:space="preserve">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</si>
</sst>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164" fontId="0" fillId="0" borderId="1" xfId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4" borderId="1" xfId="1" applyFont="1" applyFill="1" applyBorder="1"/>
    <xf numFmtId="164" fontId="1" fillId="4" borderId="1" xfId="1" applyFont="1" applyFill="1" applyBorder="1" applyAlignment="1">
      <alignment wrapText="1"/>
    </xf>
    <xf numFmtId="164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164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164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164" fontId="0" fillId="0" borderId="1" xfId="0" applyNumberFormat="1" applyBorder="1"/>
    <xf numFmtId="164" fontId="0" fillId="4" borderId="1" xfId="0" applyNumberFormat="1" applyFill="1" applyBorder="1"/>
    <xf numFmtId="164" fontId="1" fillId="4" borderId="1" xfId="0" applyNumberFormat="1" applyFont="1" applyFill="1" applyBorder="1"/>
    <xf numFmtId="164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164" fontId="1" fillId="4" borderId="4" xfId="1" applyFont="1" applyFill="1" applyBorder="1"/>
    <xf numFmtId="164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164" fontId="1" fillId="0" borderId="6" xfId="1" applyFont="1" applyBorder="1" applyAlignment="1">
      <alignment horizontal="left" vertical="center" wrapText="1"/>
    </xf>
    <xf numFmtId="164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164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/>
    <xf numFmtId="164" fontId="1" fillId="0" borderId="1" xfId="1" applyFont="1" applyBorder="1" applyProtection="1">
      <protection locked="0"/>
    </xf>
    <xf numFmtId="164" fontId="0" fillId="0" borderId="1" xfId="1" applyFont="1" applyBorder="1" applyAlignment="1">
      <alignment horizontal="center"/>
    </xf>
    <xf numFmtId="164" fontId="0" fillId="0" borderId="0" xfId="1" applyFont="1"/>
    <xf numFmtId="10" fontId="0" fillId="0" borderId="0" xfId="14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5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" xfId="14" builtinId="5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542925</xdr:colOff>
      <xdr:row>104</xdr:row>
      <xdr:rowOff>47625</xdr:rowOff>
    </xdr:from>
    <xdr:to>
      <xdr:col>0</xdr:col>
      <xdr:colOff>3581400</xdr:colOff>
      <xdr:row>112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4692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-1.xlsx" TargetMode="External"/><Relationship Id="rId1" Type="http://schemas.openxmlformats.org/officeDocument/2006/relationships/externalLinkPath" Target="EJECUCION%20PRESUPUESTAL%20JULIO%202025%20CECANOT%20(SNS)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EJECUCION%20PRESUPUESTAL%202025%20SNS/EJECUCION%20PRESUPUESTAL%20MAYO%202025%20CECANOT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 refreshError="1"/>
      <sheetData sheetId="1">
        <row r="31">
          <cell r="J31">
            <v>30268471.240000002</v>
          </cell>
        </row>
        <row r="55">
          <cell r="J55">
            <v>1963704.27</v>
          </cell>
        </row>
        <row r="83">
          <cell r="J83">
            <v>4545959.93</v>
          </cell>
        </row>
        <row r="93">
          <cell r="J93">
            <v>5898854.2999999998</v>
          </cell>
        </row>
        <row r="121">
          <cell r="J121">
            <v>48000</v>
          </cell>
        </row>
        <row r="130">
          <cell r="J130">
            <v>563600</v>
          </cell>
        </row>
        <row r="154">
          <cell r="J154">
            <v>613775.46</v>
          </cell>
        </row>
        <row r="163">
          <cell r="J163">
            <v>512061.42</v>
          </cell>
        </row>
        <row r="185">
          <cell r="J185">
            <v>2181700</v>
          </cell>
        </row>
        <row r="214">
          <cell r="J214">
            <v>1362550.53</v>
          </cell>
        </row>
        <row r="219">
          <cell r="J219">
            <v>1771745.58</v>
          </cell>
        </row>
        <row r="231">
          <cell r="J231">
            <v>505040</v>
          </cell>
        </row>
        <row r="240">
          <cell r="J240">
            <v>25652.17</v>
          </cell>
        </row>
        <row r="253">
          <cell r="J253">
            <v>6023834.9900000002</v>
          </cell>
        </row>
        <row r="269">
          <cell r="J269">
            <v>1932206.05</v>
          </cell>
        </row>
        <row r="294">
          <cell r="J294">
            <v>8558439.9600000009</v>
          </cell>
        </row>
        <row r="317">
          <cell r="J317">
            <v>30293798.009999998</v>
          </cell>
        </row>
        <row r="342">
          <cell r="J342">
            <v>60999.5</v>
          </cell>
        </row>
        <row r="349">
          <cell r="J349">
            <v>196438.56</v>
          </cell>
        </row>
        <row r="369">
          <cell r="J369">
            <v>23329379.190000001</v>
          </cell>
        </row>
        <row r="395">
          <cell r="J395">
            <v>376110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G10">
            <v>27283030.84</v>
          </cell>
        </row>
      </sheetData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workbookViewId="0">
      <selection activeCell="J13" sqref="J13"/>
    </sheetView>
  </sheetViews>
  <sheetFormatPr defaultColWidth="11.42578125" defaultRowHeight="1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8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8.7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15.7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10" spans="1:16" ht="32.25" thickBot="1">
      <c r="A10" s="20" t="s">
        <v>2</v>
      </c>
      <c r="B10" s="21" t="s">
        <v>3</v>
      </c>
      <c r="C10" s="21" t="s">
        <v>4</v>
      </c>
      <c r="D10" s="21" t="s">
        <v>5</v>
      </c>
      <c r="E10" s="21" t="s">
        <v>6</v>
      </c>
      <c r="F10" s="21" t="s">
        <v>7</v>
      </c>
      <c r="G10" s="21" t="s">
        <v>8</v>
      </c>
      <c r="H10" s="21" t="s">
        <v>9</v>
      </c>
      <c r="I10" s="21" t="s">
        <v>10</v>
      </c>
      <c r="J10" s="21" t="s">
        <v>11</v>
      </c>
      <c r="K10" s="21" t="s">
        <v>12</v>
      </c>
      <c r="L10" s="21" t="s">
        <v>13</v>
      </c>
      <c r="M10" s="21" t="s">
        <v>14</v>
      </c>
      <c r="N10" s="21" t="s">
        <v>15</v>
      </c>
      <c r="O10" s="21" t="s">
        <v>16</v>
      </c>
      <c r="P10" s="22" t="s">
        <v>17</v>
      </c>
    </row>
    <row r="11" spans="1:16" ht="15.75" thickBot="1">
      <c r="A11" s="25" t="s">
        <v>18</v>
      </c>
      <c r="B11" s="26">
        <f t="shared" ref="B11:F11" si="0">B12+B18+B28+B38+B46+B54+B64+B69+B72</f>
        <v>1133035887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103187359.19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78322394.270000011</v>
      </c>
      <c r="J11" s="26">
        <f t="shared" si="1"/>
        <v>121032321.16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589149133.57999992</v>
      </c>
    </row>
    <row r="12" spans="1:16">
      <c r="A12" s="36" t="s">
        <v>19</v>
      </c>
      <c r="B12" s="23">
        <f>B13+B14+B15+B16+B17</f>
        <v>587978352</v>
      </c>
      <c r="C12" s="23">
        <f>C13+C14+C15+C16+C17</f>
        <v>-20400000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56671527.640000001</v>
      </c>
      <c r="J12" s="24">
        <f t="shared" si="2"/>
        <v>36778135.439999998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274537894.48000002</v>
      </c>
    </row>
    <row r="13" spans="1:16" ht="18.75" customHeight="1">
      <c r="A13" s="40" t="s">
        <v>20</v>
      </c>
      <c r="B13" s="29">
        <f>221643881+99407624+27318519+2984784+836760</f>
        <v>352191568</v>
      </c>
      <c r="C13" s="9">
        <v>0</v>
      </c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>
        <v>27903268.800000001</v>
      </c>
      <c r="J13" s="1">
        <f>'[1]CONS.AÑO 2024 MODIFICADO'!$J$31</f>
        <v>30268471.240000002</v>
      </c>
      <c r="K13" s="1"/>
      <c r="L13" s="1"/>
      <c r="M13" s="1"/>
      <c r="N13" s="1"/>
      <c r="O13" s="1"/>
      <c r="P13" s="16">
        <f>D13+E13+F13+G13+H13+I13+J13+K13+L13+M13+N13+O13</f>
        <v>197543374.83000001</v>
      </c>
    </row>
    <row r="14" spans="1:16">
      <c r="A14" s="40" t="s">
        <v>21</v>
      </c>
      <c r="B14" s="29">
        <f>5580000+230000000-50000000+796956</f>
        <v>186376956</v>
      </c>
      <c r="C14" s="9">
        <f>-7680000-11600000-1120000</f>
        <v>-20400000</v>
      </c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508618+[2]VS!$G$11</f>
        <v>1361466.15</v>
      </c>
      <c r="I14" s="1">
        <v>24572327.780000001</v>
      </c>
      <c r="J14" s="1">
        <f>'[1]CONS.AÑO 2024 MODIFICADO'!$J$55</f>
        <v>1963704.27</v>
      </c>
      <c r="K14" s="1"/>
      <c r="L14" s="1"/>
      <c r="M14" s="1"/>
      <c r="N14" s="1"/>
      <c r="O14" s="1"/>
      <c r="P14" s="16">
        <f t="shared" ref="P14:P45" si="3">D14+E14+F14+G14+H14+I14+J14+K14+L14+M14+N14+O14</f>
        <v>47277657.350000001</v>
      </c>
    </row>
    <row r="15" spans="1:16">
      <c r="A15" s="40" t="s">
        <v>22</v>
      </c>
      <c r="B15" s="29">
        <v>0</v>
      </c>
      <c r="C15" s="9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/>
      <c r="L15" s="1"/>
      <c r="M15" s="1"/>
      <c r="N15" s="1">
        <v>0</v>
      </c>
      <c r="O15" s="1"/>
      <c r="P15" s="16">
        <f t="shared" si="3"/>
        <v>0</v>
      </c>
    </row>
    <row r="16" spans="1:16">
      <c r="A16" s="40" t="s">
        <v>23</v>
      </c>
      <c r="B16" s="29">
        <v>0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/>
      <c r="L16" s="1"/>
      <c r="M16" s="1"/>
      <c r="N16" s="1">
        <v>0</v>
      </c>
      <c r="O16" s="1"/>
      <c r="P16" s="16">
        <f t="shared" si="3"/>
        <v>0</v>
      </c>
    </row>
    <row r="17" spans="1:16">
      <c r="A17" s="40" t="s">
        <v>24</v>
      </c>
      <c r="B17" s="29">
        <f>22762552+22794658+3852618</f>
        <v>49409828</v>
      </c>
      <c r="C17" s="9">
        <v>0</v>
      </c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>
        <v>4195931.0599999996</v>
      </c>
      <c r="J17" s="1">
        <f>'[1]CONS.AÑO 2024 MODIFICADO'!$J$83</f>
        <v>4545959.93</v>
      </c>
      <c r="K17" s="1"/>
      <c r="L17" s="1"/>
      <c r="M17" s="1"/>
      <c r="N17" s="1"/>
      <c r="O17" s="1"/>
      <c r="P17" s="16">
        <f t="shared" si="3"/>
        <v>29716862.300000001</v>
      </c>
    </row>
    <row r="18" spans="1:16">
      <c r="A18" s="37" t="s">
        <v>25</v>
      </c>
      <c r="B18" s="12">
        <f>B19+B20+B21+B22+B23+B24+B25+B26+B27</f>
        <v>73341536</v>
      </c>
      <c r="C18" s="8">
        <f>C19+C20+C21+C22+C23+C24+C25+C26+C27</f>
        <v>3820000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1629966.86</v>
      </c>
      <c r="J18" s="8">
        <f t="shared" si="4"/>
        <v>11180541.709999999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39846306.640000001</v>
      </c>
    </row>
    <row r="19" spans="1:16" ht="15" customHeight="1">
      <c r="A19" s="40" t="s">
        <v>26</v>
      </c>
      <c r="B19" s="29">
        <f>5000000+4570000+334041+554900</f>
        <v>10458941</v>
      </c>
      <c r="C19" s="9"/>
      <c r="D19" s="1"/>
      <c r="E19" s="1">
        <v>5071888</v>
      </c>
      <c r="F19" s="1">
        <v>1785551.51</v>
      </c>
      <c r="G19" s="1">
        <v>696734.43</v>
      </c>
      <c r="H19" s="1">
        <f>[2]VS!G16</f>
        <v>496734.43</v>
      </c>
      <c r="I19" s="1">
        <v>135451</v>
      </c>
      <c r="J19" s="1">
        <f>'[1]CONS.AÑO 2024 MODIFICADO'!$J$93</f>
        <v>5898854.2999999998</v>
      </c>
      <c r="K19" s="1"/>
      <c r="L19" s="1"/>
      <c r="M19" s="1"/>
      <c r="N19" s="1"/>
      <c r="O19" s="1"/>
      <c r="P19" s="16">
        <f t="shared" si="3"/>
        <v>14085213.669999998</v>
      </c>
    </row>
    <row r="20" spans="1:16">
      <c r="A20" s="40" t="s">
        <v>27</v>
      </c>
      <c r="B20" s="29">
        <f>100000+100000</f>
        <v>200000</v>
      </c>
      <c r="C20" s="9"/>
      <c r="D20" s="1"/>
      <c r="E20" s="1">
        <v>0</v>
      </c>
      <c r="F20" s="1">
        <v>0</v>
      </c>
      <c r="G20" s="1">
        <v>0</v>
      </c>
      <c r="H20" s="1">
        <f>[2]VS!G17</f>
        <v>0</v>
      </c>
      <c r="I20" s="1">
        <v>0</v>
      </c>
      <c r="J20" s="1">
        <v>0</v>
      </c>
      <c r="K20" s="1"/>
      <c r="L20" s="1"/>
      <c r="M20" s="1"/>
      <c r="N20" s="1"/>
      <c r="O20" s="1"/>
      <c r="P20" s="16">
        <f t="shared" si="3"/>
        <v>0</v>
      </c>
    </row>
    <row r="21" spans="1:16">
      <c r="A21" s="40" t="s">
        <v>28</v>
      </c>
      <c r="B21" s="29">
        <v>0</v>
      </c>
      <c r="C21" s="9"/>
      <c r="D21" s="1"/>
      <c r="E21" s="1">
        <v>0</v>
      </c>
      <c r="F21" s="1">
        <v>0</v>
      </c>
      <c r="G21" s="1">
        <v>0</v>
      </c>
      <c r="H21" s="1">
        <f>[2]VS!G18</f>
        <v>0</v>
      </c>
      <c r="I21" s="1">
        <v>0</v>
      </c>
      <c r="J21" s="1">
        <v>0</v>
      </c>
      <c r="K21" s="1"/>
      <c r="L21" s="1"/>
      <c r="M21" s="1"/>
      <c r="N21" s="1"/>
      <c r="O21" s="1"/>
      <c r="P21" s="16">
        <f t="shared" si="3"/>
        <v>0</v>
      </c>
    </row>
    <row r="22" spans="1:16">
      <c r="A22" s="40" t="s">
        <v>29</v>
      </c>
      <c r="B22" s="29">
        <v>0</v>
      </c>
      <c r="C22" s="9"/>
      <c r="D22" s="1"/>
      <c r="E22" s="1">
        <v>4000</v>
      </c>
      <c r="F22" s="1">
        <v>114550</v>
      </c>
      <c r="G22" s="1">
        <v>0</v>
      </c>
      <c r="H22" s="1">
        <f>[2]VS!G19</f>
        <v>6200</v>
      </c>
      <c r="I22" s="1">
        <v>32000</v>
      </c>
      <c r="J22" s="1">
        <f>'[1]CONS.AÑO 2024 MODIFICADO'!$J$121</f>
        <v>48000</v>
      </c>
      <c r="K22" s="1"/>
      <c r="L22" s="1"/>
      <c r="M22" s="1"/>
      <c r="N22" s="1"/>
      <c r="O22" s="1"/>
      <c r="P22" s="16">
        <f t="shared" si="3"/>
        <v>204750</v>
      </c>
    </row>
    <row r="23" spans="1:16">
      <c r="A23" s="40" t="s">
        <v>30</v>
      </c>
      <c r="B23" s="29">
        <f>89144+858304+5900000</f>
        <v>6847448</v>
      </c>
      <c r="C23" s="9"/>
      <c r="D23" s="1"/>
      <c r="E23" s="1">
        <v>0</v>
      </c>
      <c r="F23" s="1">
        <v>669801.28</v>
      </c>
      <c r="G23" s="1">
        <v>179327.67</v>
      </c>
      <c r="H23" s="1">
        <f>[2]VS!G20</f>
        <v>578672</v>
      </c>
      <c r="I23" s="1">
        <v>169023.2</v>
      </c>
      <c r="J23" s="1">
        <f>'[1]CONS.AÑO 2024 MODIFICADO'!$J$130</f>
        <v>563600</v>
      </c>
      <c r="K23" s="1"/>
      <c r="L23" s="1"/>
      <c r="M23" s="1"/>
      <c r="N23" s="1"/>
      <c r="O23" s="1"/>
      <c r="P23" s="16">
        <f t="shared" si="3"/>
        <v>2160424.1500000004</v>
      </c>
    </row>
    <row r="24" spans="1:16">
      <c r="A24" s="40" t="s">
        <v>31</v>
      </c>
      <c r="B24" s="29">
        <f>10000000+1360455+4212000</f>
        <v>15572455</v>
      </c>
      <c r="C24" s="9"/>
      <c r="D24" s="1"/>
      <c r="E24" s="1">
        <v>1430404.47</v>
      </c>
      <c r="F24" s="1">
        <v>658084.28</v>
      </c>
      <c r="G24" s="1">
        <v>590011.66</v>
      </c>
      <c r="H24" s="1">
        <f>[2]VS!G21</f>
        <v>648969.51</v>
      </c>
      <c r="I24" s="1">
        <v>650929.56000000006</v>
      </c>
      <c r="J24" s="1">
        <f>'[1]CONS.AÑO 2024 MODIFICADO'!$J$154</f>
        <v>613775.46</v>
      </c>
      <c r="K24" s="1"/>
      <c r="L24" s="1"/>
      <c r="M24" s="1"/>
      <c r="N24" s="1"/>
      <c r="O24" s="1"/>
      <c r="P24" s="16">
        <f t="shared" si="3"/>
        <v>4592174.9399999995</v>
      </c>
    </row>
    <row r="25" spans="1:16">
      <c r="A25" s="40" t="s">
        <v>32</v>
      </c>
      <c r="B25" s="29">
        <f>5000000+328000+590509+300000+800000+236542+5000000+251000+1278550+200000+300180+222725</f>
        <v>14507506</v>
      </c>
      <c r="C25" s="9">
        <v>2000000</v>
      </c>
      <c r="D25" s="1"/>
      <c r="E25" s="1">
        <v>5362.3</v>
      </c>
      <c r="F25" s="1">
        <v>1726696.59</v>
      </c>
      <c r="G25" s="1">
        <v>1899130.37</v>
      </c>
      <c r="H25" s="1">
        <f>[2]VS!G22</f>
        <v>2488354.9699999997</v>
      </c>
      <c r="I25" s="1">
        <v>99763.1</v>
      </c>
      <c r="J25" s="1">
        <f>'[1]CONS.AÑO 2024 MODIFICADO'!$J$163</f>
        <v>512061.42</v>
      </c>
      <c r="K25" s="1"/>
      <c r="L25" s="1"/>
      <c r="M25" s="1"/>
      <c r="N25" s="1"/>
      <c r="O25" s="1"/>
      <c r="P25" s="16">
        <f t="shared" si="3"/>
        <v>6731368.75</v>
      </c>
    </row>
    <row r="26" spans="1:16">
      <c r="A26" s="40" t="s">
        <v>33</v>
      </c>
      <c r="B26" s="29">
        <f>552111+63595+479465+1500000+200000+600000+1445015+4800000+7115000</f>
        <v>16755186</v>
      </c>
      <c r="C26" s="9">
        <v>1820000</v>
      </c>
      <c r="D26" s="1"/>
      <c r="E26" s="1">
        <v>163485.28</v>
      </c>
      <c r="F26" s="1">
        <v>1312524.78</v>
      </c>
      <c r="G26" s="1">
        <v>222382.4</v>
      </c>
      <c r="H26" s="1">
        <f>[2]VS!G23</f>
        <v>1112315.8400000001</v>
      </c>
      <c r="I26" s="1">
        <v>542800</v>
      </c>
      <c r="J26" s="1">
        <f>'[1]CONS.AÑO 2024 MODIFICADO'!$J$185</f>
        <v>2181700</v>
      </c>
      <c r="K26" s="1"/>
      <c r="L26" s="1"/>
      <c r="M26" s="1"/>
      <c r="N26" s="1"/>
      <c r="O26" s="1"/>
      <c r="P26" s="16">
        <f t="shared" si="3"/>
        <v>5535208.2999999998</v>
      </c>
    </row>
    <row r="27" spans="1:16">
      <c r="A27" s="40" t="s">
        <v>34</v>
      </c>
      <c r="B27" s="29">
        <f>2000000+7000000</f>
        <v>9000000</v>
      </c>
      <c r="C27" s="44"/>
      <c r="D27" s="1"/>
      <c r="E27" s="1">
        <v>1821110.6</v>
      </c>
      <c r="F27" s="1">
        <v>3353505.7</v>
      </c>
      <c r="G27" s="1">
        <v>0</v>
      </c>
      <c r="H27" s="1">
        <f>[2]VS!G24</f>
        <v>0</v>
      </c>
      <c r="I27" s="1">
        <v>0</v>
      </c>
      <c r="J27" s="1">
        <f>'[1]CONS.AÑO 2024 MODIFICADO'!$J$214</f>
        <v>1362550.53</v>
      </c>
      <c r="K27" s="1"/>
      <c r="L27" s="1"/>
      <c r="M27" s="1"/>
      <c r="N27" s="1"/>
      <c r="O27" s="1"/>
      <c r="P27" s="16">
        <f t="shared" si="3"/>
        <v>6537166.830000001</v>
      </c>
    </row>
    <row r="28" spans="1:16">
      <c r="A28" s="37" t="s">
        <v>35</v>
      </c>
      <c r="B28" s="12">
        <f>B29+B30+B31+B32+B33+B34+B35+B36+B37</f>
        <v>398237929</v>
      </c>
      <c r="C28" s="8">
        <f>C29+C30+C31+C32+C33+C34+C35+C36+C37</f>
        <v>15715000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19697127.770000003</v>
      </c>
      <c r="J28" s="8">
        <f t="shared" si="5"/>
        <v>49110716.759999998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240956298.88</v>
      </c>
    </row>
    <row r="29" spans="1:16">
      <c r="A29" s="40" t="s">
        <v>36</v>
      </c>
      <c r="B29" s="29">
        <f>15000000</f>
        <v>15000000</v>
      </c>
      <c r="C29" s="9">
        <v>400000</v>
      </c>
      <c r="D29" s="1">
        <v>0</v>
      </c>
      <c r="E29" s="1">
        <v>219779.99</v>
      </c>
      <c r="F29" s="1">
        <v>2213640.02</v>
      </c>
      <c r="G29" s="1">
        <v>3802787.2</v>
      </c>
      <c r="H29" s="1">
        <f>[2]VS!G26</f>
        <v>300707.3</v>
      </c>
      <c r="I29" s="1">
        <v>1088486.81</v>
      </c>
      <c r="J29" s="1">
        <f>'[1]CONS.AÑO 2024 MODIFICADO'!$J$219</f>
        <v>1771745.58</v>
      </c>
      <c r="K29" s="1"/>
      <c r="L29" s="1"/>
      <c r="M29" s="1"/>
      <c r="N29" s="1"/>
      <c r="O29" s="1"/>
      <c r="P29" s="16">
        <f t="shared" si="3"/>
        <v>9397146.9000000004</v>
      </c>
    </row>
    <row r="30" spans="1:16">
      <c r="A30" s="40" t="s">
        <v>37</v>
      </c>
      <c r="B30" s="29">
        <f>350000+200000+200000+150543</f>
        <v>900543</v>
      </c>
      <c r="C30" s="9"/>
      <c r="D30" s="1">
        <v>91368.960000000006</v>
      </c>
      <c r="E30" s="1">
        <v>722260.89</v>
      </c>
      <c r="F30" s="1">
        <v>0</v>
      </c>
      <c r="G30" s="1">
        <v>0</v>
      </c>
      <c r="H30" s="1">
        <f>[2]VS!G27</f>
        <v>0</v>
      </c>
      <c r="I30" s="1">
        <v>0</v>
      </c>
      <c r="J30" s="1">
        <f>'[1]CONS.AÑO 2024 MODIFICADO'!$J$231</f>
        <v>505040</v>
      </c>
      <c r="K30" s="1"/>
      <c r="L30" s="1"/>
      <c r="M30" s="1"/>
      <c r="N30" s="1"/>
      <c r="O30" s="1"/>
      <c r="P30" s="16">
        <f t="shared" si="3"/>
        <v>1318669.8500000001</v>
      </c>
    </row>
    <row r="31" spans="1:16">
      <c r="A31" s="40" t="s">
        <v>38</v>
      </c>
      <c r="B31" s="29">
        <f>224619356+1000000+500000-221619356+1500000</f>
        <v>6000000</v>
      </c>
      <c r="C31" s="9">
        <f>1400000+1300000</f>
        <v>2700000</v>
      </c>
      <c r="D31" s="1">
        <v>569300.91</v>
      </c>
      <c r="E31" s="1">
        <v>24426</v>
      </c>
      <c r="F31" s="1">
        <v>2489118.5</v>
      </c>
      <c r="G31" s="1">
        <v>2040818.26</v>
      </c>
      <c r="H31" s="1">
        <f>[2]VS!G28</f>
        <v>471082.55</v>
      </c>
      <c r="I31" s="1">
        <v>940873</v>
      </c>
      <c r="J31" s="1">
        <f>'[1]CONS.AÑO 2024 MODIFICADO'!$J$240</f>
        <v>25652.17</v>
      </c>
      <c r="K31" s="1"/>
      <c r="L31" s="1"/>
      <c r="M31" s="1"/>
      <c r="N31" s="1"/>
      <c r="O31" s="1"/>
      <c r="P31" s="16">
        <f t="shared" si="3"/>
        <v>6561271.3899999997</v>
      </c>
    </row>
    <row r="32" spans="1:16">
      <c r="A32" s="40" t="s">
        <v>39</v>
      </c>
      <c r="B32" s="29">
        <f>32130265+85400000-9508725</f>
        <v>108021540</v>
      </c>
      <c r="C32" s="9">
        <v>2000000</v>
      </c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[2]VS!G29</f>
        <v>5894169.3899999997</v>
      </c>
      <c r="I32" s="1">
        <v>3293638</v>
      </c>
      <c r="J32" s="1">
        <f>'[1]CONS.AÑO 2024 MODIFICADO'!$J$253</f>
        <v>6023834.9900000002</v>
      </c>
      <c r="K32" s="1"/>
      <c r="L32" s="1"/>
      <c r="M32" s="1"/>
      <c r="N32" s="1"/>
      <c r="O32" s="1"/>
      <c r="P32" s="16">
        <f t="shared" si="3"/>
        <v>47290181.719999999</v>
      </c>
    </row>
    <row r="33" spans="1:16">
      <c r="A33" s="40" t="s">
        <v>40</v>
      </c>
      <c r="B33" s="29">
        <f>2000000-50000</f>
        <v>1950000</v>
      </c>
      <c r="C33" s="9"/>
      <c r="D33" s="1">
        <v>475239.95</v>
      </c>
      <c r="E33" s="1">
        <v>3951.06</v>
      </c>
      <c r="F33" s="1">
        <v>2004</v>
      </c>
      <c r="G33" s="1">
        <v>255116</v>
      </c>
      <c r="H33" s="1">
        <f>[2]VS!G30</f>
        <v>24864.99</v>
      </c>
      <c r="I33" s="1">
        <v>197768</v>
      </c>
      <c r="J33" s="1">
        <v>0</v>
      </c>
      <c r="K33" s="1"/>
      <c r="L33" s="1"/>
      <c r="M33" s="1"/>
      <c r="N33" s="1"/>
      <c r="O33" s="1"/>
      <c r="P33" s="16">
        <f t="shared" si="3"/>
        <v>958944</v>
      </c>
    </row>
    <row r="34" spans="1:16">
      <c r="A34" s="40" t="s">
        <v>41</v>
      </c>
      <c r="B34" s="29">
        <f>150000+500000+426858</f>
        <v>1076858</v>
      </c>
      <c r="C34" s="9">
        <f>300000+2000000</f>
        <v>2300000</v>
      </c>
      <c r="D34" s="1">
        <v>140691.9</v>
      </c>
      <c r="E34" s="1">
        <v>12893.96</v>
      </c>
      <c r="F34" s="1">
        <v>260321.54</v>
      </c>
      <c r="G34" s="1">
        <v>0</v>
      </c>
      <c r="H34" s="1">
        <f>[2]VS!G31</f>
        <v>4295</v>
      </c>
      <c r="I34" s="1">
        <v>0</v>
      </c>
      <c r="J34" s="1">
        <f>'[1]CONS.AÑO 2024 MODIFICADO'!$J$269</f>
        <v>1932206.05</v>
      </c>
      <c r="K34" s="1"/>
      <c r="L34" s="1"/>
      <c r="M34" s="1"/>
      <c r="N34" s="1"/>
      <c r="O34" s="1"/>
      <c r="P34" s="16">
        <f t="shared" si="3"/>
        <v>2350408.4500000002</v>
      </c>
    </row>
    <row r="35" spans="1:16">
      <c r="A35" s="40" t="s">
        <v>42</v>
      </c>
      <c r="B35" s="29">
        <f>3092532+1500000+1230640+50000000+410460+250500+200000+300000</f>
        <v>56984132</v>
      </c>
      <c r="C35" s="9">
        <f>180000+1000000+1000000</f>
        <v>2180000</v>
      </c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[2]VS!G32</f>
        <v>5922387.0199999996</v>
      </c>
      <c r="I35" s="1">
        <v>377000</v>
      </c>
      <c r="J35" s="1">
        <f>'[1]CONS.AÑO 2024 MODIFICADO'!$J$294</f>
        <v>8558439.9600000009</v>
      </c>
      <c r="K35" s="1"/>
      <c r="L35" s="1"/>
      <c r="M35" s="1"/>
      <c r="N35" s="1"/>
      <c r="O35" s="1"/>
      <c r="P35" s="16">
        <f t="shared" si="3"/>
        <v>41916863.109999999</v>
      </c>
    </row>
    <row r="36" spans="1:16">
      <c r="A36" s="40" t="s">
        <v>43</v>
      </c>
      <c r="B36" s="29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>
        <f>[2]VS!G33</f>
        <v>0</v>
      </c>
      <c r="I36" s="1">
        <v>0</v>
      </c>
      <c r="J36" s="1">
        <v>0</v>
      </c>
      <c r="K36" s="1"/>
      <c r="L36" s="1"/>
      <c r="M36" s="1"/>
      <c r="N36" s="1"/>
      <c r="O36" s="1"/>
      <c r="P36" s="16">
        <f t="shared" si="3"/>
        <v>0</v>
      </c>
    </row>
    <row r="37" spans="1:16">
      <c r="A37" s="40" t="s">
        <v>44</v>
      </c>
      <c r="B37" s="29">
        <f>2000000+3000000+25564500+1100000+1000000+500000+500000+500000+173619356+521000</f>
        <v>208304856</v>
      </c>
      <c r="C37" s="9">
        <f>2000000+300000+6000000-400000-700000-1000000-65000</f>
        <v>6135000</v>
      </c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[2]VS!G34</f>
        <v>21363762.810000002</v>
      </c>
      <c r="I37" s="1">
        <v>13799361.960000001</v>
      </c>
      <c r="J37" s="1">
        <f>'[1]CONS.AÑO 2024 MODIFICADO'!$J$317</f>
        <v>30293798.009999998</v>
      </c>
      <c r="K37" s="1"/>
      <c r="L37" s="1"/>
      <c r="M37" s="1"/>
      <c r="N37" s="1"/>
      <c r="O37" s="1"/>
      <c r="P37" s="16">
        <f t="shared" si="3"/>
        <v>131162813.46000001</v>
      </c>
    </row>
    <row r="38" spans="1:16">
      <c r="A38" s="37" t="s">
        <v>45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105000</v>
      </c>
      <c r="J38" s="8">
        <f t="shared" si="6"/>
        <v>60999.5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887999.5</v>
      </c>
    </row>
    <row r="39" spans="1:16">
      <c r="A39" s="40" t="s">
        <v>46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[2]VS!$G$37</f>
        <v>236000</v>
      </c>
      <c r="I39" s="1">
        <v>105000</v>
      </c>
      <c r="J39" s="1">
        <f>'[1]CONS.AÑO 2024 MODIFICADO'!$J$342</f>
        <v>60999.5</v>
      </c>
      <c r="K39" s="1"/>
      <c r="L39" s="1"/>
      <c r="M39" s="1"/>
      <c r="N39" s="1"/>
      <c r="O39" s="1"/>
      <c r="P39" s="16">
        <f t="shared" si="3"/>
        <v>887999.5</v>
      </c>
    </row>
    <row r="40" spans="1:16">
      <c r="A40" s="40" t="s">
        <v>47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>
      <c r="A41" s="40" t="s">
        <v>48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>
      <c r="A42" s="40" t="s">
        <v>49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>
      <c r="A43" s="40" t="s">
        <v>50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>
      <c r="A44" s="40" t="s">
        <v>51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>
      <c r="A45" s="40" t="s">
        <v>52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>
      <c r="A46" s="37" t="s">
        <v>53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>
      <c r="A47" s="40" t="s">
        <v>54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>
      <c r="A48" s="40" t="s">
        <v>55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>
      <c r="A49" s="40" t="s">
        <v>56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>
      <c r="A50" s="40" t="s">
        <v>57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>
      <c r="A51" s="40" t="s">
        <v>58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>
      <c r="A52" s="40" t="s">
        <v>59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>
      <c r="A53" s="40" t="s">
        <v>60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>
      <c r="A54" s="37" t="s">
        <v>61</v>
      </c>
      <c r="B54" s="12">
        <f>B55+B56+B57+B58+B59+B60+B61+B62+B63</f>
        <v>73478070</v>
      </c>
      <c r="C54" s="12">
        <f>C55+C56+C57+C58+C59+C60+C61+C62+C63</f>
        <v>865000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7864784.3300000001</v>
      </c>
      <c r="G54" s="8">
        <f t="shared" si="9"/>
        <v>457840</v>
      </c>
      <c r="H54" s="8">
        <f t="shared" si="9"/>
        <v>288510</v>
      </c>
      <c r="I54" s="8">
        <f t="shared" si="9"/>
        <v>218772</v>
      </c>
      <c r="J54" s="8">
        <f t="shared" si="9"/>
        <v>23901927.75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32920634.080000002</v>
      </c>
    </row>
    <row r="55" spans="1:16" ht="15" customHeight="1">
      <c r="A55" s="40" t="s">
        <v>62</v>
      </c>
      <c r="B55" s="29">
        <f>4022500+200000+3000000+1159700+1000000</f>
        <v>9382200</v>
      </c>
      <c r="C55" s="9">
        <v>300000</v>
      </c>
      <c r="D55" s="1"/>
      <c r="E55" s="1">
        <v>0</v>
      </c>
      <c r="F55" s="1">
        <v>1908308.09</v>
      </c>
      <c r="G55" s="1">
        <v>59590</v>
      </c>
      <c r="H55" s="1">
        <v>0</v>
      </c>
      <c r="I55" s="1">
        <v>218772</v>
      </c>
      <c r="J55" s="1">
        <f>'[1]CONS.AÑO 2024 MODIFICADO'!$J$349</f>
        <v>196438.56</v>
      </c>
      <c r="K55" s="1"/>
      <c r="L55" s="1"/>
      <c r="M55" s="1"/>
      <c r="N55" s="1"/>
      <c r="O55" s="1"/>
      <c r="P55" s="16">
        <f t="shared" si="8"/>
        <v>2383108.65</v>
      </c>
    </row>
    <row r="56" spans="1:16">
      <c r="A56" s="40" t="s">
        <v>63</v>
      </c>
      <c r="B56" s="29">
        <f>500000+668530</f>
        <v>1168530</v>
      </c>
      <c r="C56" s="9"/>
      <c r="D56" s="1"/>
      <c r="E56" s="1">
        <v>0</v>
      </c>
      <c r="F56" s="1">
        <v>0</v>
      </c>
      <c r="G56" s="1">
        <v>0</v>
      </c>
      <c r="H56" s="1"/>
      <c r="I56" s="1"/>
      <c r="J56" s="1">
        <v>0</v>
      </c>
      <c r="K56" s="1"/>
      <c r="L56" s="1"/>
      <c r="M56" s="1"/>
      <c r="N56" s="1"/>
      <c r="O56" s="1"/>
      <c r="P56" s="16">
        <f t="shared" si="8"/>
        <v>0</v>
      </c>
    </row>
    <row r="57" spans="1:16">
      <c r="A57" s="40" t="s">
        <v>64</v>
      </c>
      <c r="B57" s="29">
        <f>50000000+1000000</f>
        <v>51000000</v>
      </c>
      <c r="C57" s="9"/>
      <c r="D57" s="1"/>
      <c r="E57" s="1">
        <v>0</v>
      </c>
      <c r="F57" s="1">
        <v>4598041.58</v>
      </c>
      <c r="G57" s="1">
        <v>53100</v>
      </c>
      <c r="H57" s="1"/>
      <c r="I57" s="1"/>
      <c r="J57" s="1">
        <f>'[1]CONS.AÑO 2024 MODIFICADO'!$J$369</f>
        <v>23329379.190000001</v>
      </c>
      <c r="K57" s="1"/>
      <c r="L57" s="1"/>
      <c r="M57" s="1"/>
      <c r="N57" s="1"/>
      <c r="O57" s="1"/>
      <c r="P57" s="16">
        <f t="shared" si="8"/>
        <v>27980520.770000003</v>
      </c>
    </row>
    <row r="58" spans="1:16">
      <c r="A58" s="40" t="s">
        <v>65</v>
      </c>
      <c r="B58" s="29">
        <f>2727340+1000000+150000</f>
        <v>3877340</v>
      </c>
      <c r="C58" s="9"/>
      <c r="D58" s="1"/>
      <c r="E58" s="1">
        <v>0</v>
      </c>
      <c r="F58" s="1">
        <v>91500.01</v>
      </c>
      <c r="G58" s="1">
        <v>345150</v>
      </c>
      <c r="H58" s="1"/>
      <c r="I58" s="1"/>
      <c r="J58" s="1">
        <v>0</v>
      </c>
      <c r="K58" s="1"/>
      <c r="L58" s="1"/>
      <c r="M58" s="1"/>
      <c r="N58" s="1"/>
      <c r="O58" s="1"/>
      <c r="P58" s="16">
        <f t="shared" si="8"/>
        <v>436650.01</v>
      </c>
    </row>
    <row r="59" spans="1:16">
      <c r="A59" s="40" t="s">
        <v>66</v>
      </c>
      <c r="B59" s="29">
        <f>700000+1450000+4000000+300000</f>
        <v>6450000</v>
      </c>
      <c r="C59" s="9">
        <f>500000+65000</f>
        <v>565000</v>
      </c>
      <c r="D59" s="1"/>
      <c r="E59" s="1">
        <v>188800</v>
      </c>
      <c r="F59" s="1">
        <v>1266934.6499999999</v>
      </c>
      <c r="G59" s="1">
        <v>0</v>
      </c>
      <c r="H59" s="1">
        <f>[2]VS!$G$56</f>
        <v>288510</v>
      </c>
      <c r="I59" s="1"/>
      <c r="J59" s="1">
        <f>'[1]CONS.AÑO 2024 MODIFICADO'!$J$395</f>
        <v>376110</v>
      </c>
      <c r="K59" s="1"/>
      <c r="L59" s="1"/>
      <c r="M59" s="1"/>
      <c r="N59" s="1"/>
      <c r="O59" s="1"/>
      <c r="P59" s="16">
        <f t="shared" si="8"/>
        <v>2120354.65</v>
      </c>
    </row>
    <row r="60" spans="1:16">
      <c r="A60" s="40" t="s">
        <v>67</v>
      </c>
      <c r="B60" s="29">
        <v>600000</v>
      </c>
      <c r="C60" s="9"/>
      <c r="D60" s="1"/>
      <c r="E60" s="1">
        <v>0</v>
      </c>
      <c r="F60" s="1"/>
      <c r="G60" s="1">
        <v>0</v>
      </c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>
      <c r="A61" s="40" t="s">
        <v>68</v>
      </c>
      <c r="B61" s="29">
        <v>0</v>
      </c>
      <c r="C61" s="9"/>
      <c r="D61" s="1"/>
      <c r="E61" s="1">
        <v>0</v>
      </c>
      <c r="F61" s="1"/>
      <c r="G61" s="1">
        <v>0</v>
      </c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>
      <c r="A62" s="40" t="s">
        <v>69</v>
      </c>
      <c r="B62" s="29">
        <v>1000000</v>
      </c>
      <c r="C62" s="9"/>
      <c r="D62" s="1"/>
      <c r="E62" s="1">
        <v>0</v>
      </c>
      <c r="F62" s="1"/>
      <c r="G62" s="1">
        <v>0</v>
      </c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>
      <c r="A63" s="40" t="s">
        <v>70</v>
      </c>
      <c r="B63" s="29">
        <v>0</v>
      </c>
      <c r="C63" s="9">
        <v>0</v>
      </c>
      <c r="D63" s="1"/>
      <c r="E63" s="1">
        <v>0</v>
      </c>
      <c r="F63" s="1"/>
      <c r="G63" s="1">
        <v>0</v>
      </c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>
      <c r="A64" s="37" t="s">
        <v>71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>
      <c r="A65" s="40" t="s">
        <v>72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>
      <c r="A66" s="40" t="s">
        <v>73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>
      <c r="A67" s="40" t="s">
        <v>74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>
      <c r="A68" s="40" t="s">
        <v>75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>
      <c r="A69" s="37" t="s">
        <v>76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>
      <c r="A70" s="40" t="s">
        <v>77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>
      <c r="A71" s="40" t="s">
        <v>78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>
      <c r="A72" s="37" t="s">
        <v>79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>
      <c r="A73" s="40" t="s">
        <v>80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>
      <c r="A74" s="40" t="s">
        <v>81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>
      <c r="A75" s="40" t="s">
        <v>82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>
      <c r="A76" s="38" t="s">
        <v>83</v>
      </c>
      <c r="B76" s="6">
        <f>B12+B18+B28+B38+B46+B54+B64+B69+B72</f>
        <v>1133035887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103187359.19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78322394.270000011</v>
      </c>
      <c r="J76" s="6">
        <f t="shared" si="17"/>
        <v>121032321.16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589149133.58000004</v>
      </c>
      <c r="Q76" s="19"/>
    </row>
    <row r="77" spans="1:17">
      <c r="A77" s="39" t="s">
        <v>84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>
      <c r="A78" s="39" t="s">
        <v>85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>
      <c r="A79" s="40" t="s">
        <v>86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>
      <c r="A80" s="40" t="s">
        <v>87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>
      <c r="A81" s="39" t="s">
        <v>88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>
      <c r="A82" s="40" t="s">
        <v>89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>
      <c r="A83" s="40" t="s">
        <v>90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>
      <c r="A84" s="39" t="s">
        <v>91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>
      <c r="A85" s="40" t="s">
        <v>92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>
      <c r="A86" s="13" t="s">
        <v>93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>
      <c r="A88" s="28" t="s">
        <v>94</v>
      </c>
      <c r="B88" s="41">
        <f>B76+B86</f>
        <v>1133035887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103187359.19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78322394.270000011</v>
      </c>
      <c r="J88" s="41">
        <f t="shared" si="19"/>
        <v>121032321.16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589149133.58000004</v>
      </c>
    </row>
    <row r="90" spans="1:16">
      <c r="N90" s="46"/>
    </row>
    <row r="92" spans="1:16">
      <c r="A92" s="31" t="s">
        <v>95</v>
      </c>
    </row>
    <row r="93" spans="1:16">
      <c r="A93" s="30" t="s">
        <v>96</v>
      </c>
    </row>
    <row r="94" spans="1:16">
      <c r="A94" s="31" t="s">
        <v>97</v>
      </c>
      <c r="C94" s="19"/>
    </row>
    <row r="95" spans="1:16">
      <c r="A95" s="32" t="s">
        <v>98</v>
      </c>
    </row>
    <row r="96" spans="1:16">
      <c r="A96" s="30" t="s">
        <v>99</v>
      </c>
    </row>
    <row r="97" spans="1:7">
      <c r="A97" s="31" t="s">
        <v>100</v>
      </c>
    </row>
    <row r="98" spans="1:7">
      <c r="A98" s="32" t="s">
        <v>101</v>
      </c>
    </row>
    <row r="99" spans="1:7">
      <c r="A99" s="32" t="s">
        <v>102</v>
      </c>
    </row>
    <row r="100" spans="1:7">
      <c r="A100" s="32" t="s">
        <v>103</v>
      </c>
    </row>
    <row r="101" spans="1:7">
      <c r="A101" s="30" t="s">
        <v>104</v>
      </c>
    </row>
    <row r="109" spans="1:7">
      <c r="A109" s="33"/>
      <c r="B109" s="10"/>
      <c r="C109" s="10"/>
      <c r="D109" s="10"/>
      <c r="E109" s="34" t="s">
        <v>105</v>
      </c>
      <c r="F109" s="34" t="s">
        <v>106</v>
      </c>
      <c r="G109" s="34"/>
    </row>
    <row r="110" spans="1:7">
      <c r="A110" s="33"/>
      <c r="B110" s="10"/>
      <c r="C110" s="10"/>
      <c r="D110" s="11"/>
      <c r="E110" s="35"/>
      <c r="F110" s="33" t="s">
        <v>107</v>
      </c>
      <c r="G110" s="35"/>
    </row>
    <row r="116" spans="10:10">
      <c r="J116" s="46"/>
    </row>
    <row r="117" spans="10:10">
      <c r="J117" s="46">
        <v>166428915.78999999</v>
      </c>
    </row>
    <row r="118" spans="10:10">
      <c r="J118" s="46">
        <v>189840546.30000001</v>
      </c>
    </row>
    <row r="119" spans="10:10">
      <c r="J119" s="46">
        <f>J117-J118</f>
        <v>-23411630.51000002</v>
      </c>
    </row>
    <row r="120" spans="10:10">
      <c r="J120" s="47">
        <f>J119/J117</f>
        <v>-0.1406704501971329</v>
      </c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2025-08-13T12:45:55Z</dcterms:modified>
  <cp:category/>
  <cp:contentStatus/>
</cp:coreProperties>
</file>