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bookViews>
    <workbookView xWindow="0" yWindow="0" windowWidth="20055" windowHeight="5550" firstSheet="7" activeTab="11"/>
  </bookViews>
  <sheets>
    <sheet name="CONSOLIDADO INGRESOS Y GTO" sheetId="10" r:id="rId1"/>
    <sheet name="Plantilla Presupuesto" sheetId="4" r:id="rId2"/>
    <sheet name="F100" sheetId="5" r:id="rId3"/>
    <sheet name="OBLIGACIONES" sheetId="7" r:id="rId4"/>
    <sheet name="INGRESOS SEGUN ORIGEN" sheetId="8" r:id="rId5"/>
    <sheet name="CUENTAS X COBRAR" sheetId="9" r:id="rId6"/>
    <sheet name="MODELO DEUDA" sheetId="11" r:id="rId7"/>
    <sheet name="VS" sheetId="6" r:id="rId8"/>
    <sheet name="DEUDA POR OBJETO DEL GTO" sheetId="12" r:id="rId9"/>
    <sheet name="GLOSA" sheetId="13" r:id="rId10"/>
    <sheet name="INGRESOS ARS" sheetId="14" r:id="rId11"/>
    <sheet name="Hoja1" sheetId="15" r:id="rId12"/>
    <sheet name="Hoja2" sheetId="16" r:id="rId13"/>
  </sheets>
  <externalReferences>
    <externalReference r:id="rId14"/>
    <externalReference r:id="rId15"/>
    <externalReference r:id="rId16"/>
    <externalReference r:id="rId17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9" i="15" l="1"/>
  <c r="M89" i="15"/>
  <c r="L89" i="15"/>
  <c r="K89" i="15"/>
  <c r="J89" i="15"/>
  <c r="I89" i="15"/>
  <c r="H89" i="15"/>
  <c r="G89" i="15"/>
  <c r="F89" i="15"/>
  <c r="E89" i="15"/>
  <c r="D89" i="15"/>
  <c r="C89" i="15"/>
  <c r="B89" i="15"/>
  <c r="J25" i="10" l="1"/>
  <c r="J26" i="10"/>
  <c r="J27" i="10"/>
  <c r="J28" i="10"/>
  <c r="J29" i="10"/>
  <c r="N15" i="15" l="1"/>
  <c r="J14" i="15"/>
  <c r="I14" i="15"/>
  <c r="H14" i="15"/>
  <c r="N30" i="15" l="1"/>
  <c r="N26" i="6" l="1"/>
  <c r="I10" i="5" l="1"/>
  <c r="B76" i="15" l="1"/>
  <c r="B75" i="15"/>
  <c r="B74" i="15"/>
  <c r="N73" i="15"/>
  <c r="M73" i="15"/>
  <c r="L73" i="15"/>
  <c r="K73" i="15"/>
  <c r="J73" i="15"/>
  <c r="I73" i="15"/>
  <c r="H73" i="15"/>
  <c r="G73" i="15"/>
  <c r="F73" i="15"/>
  <c r="E73" i="15"/>
  <c r="D73" i="15"/>
  <c r="C73" i="15"/>
  <c r="B73" i="15" s="1"/>
  <c r="B72" i="15"/>
  <c r="B71" i="15"/>
  <c r="N70" i="15"/>
  <c r="M70" i="15"/>
  <c r="L70" i="15"/>
  <c r="K70" i="15"/>
  <c r="J70" i="15"/>
  <c r="I70" i="15"/>
  <c r="H70" i="15"/>
  <c r="G70" i="15"/>
  <c r="F70" i="15"/>
  <c r="E70" i="15"/>
  <c r="D70" i="15"/>
  <c r="C70" i="15"/>
  <c r="B70" i="15" s="1"/>
  <c r="B69" i="15"/>
  <c r="B68" i="15"/>
  <c r="B67" i="15"/>
  <c r="B66" i="15"/>
  <c r="N65" i="15"/>
  <c r="M65" i="15"/>
  <c r="L65" i="15"/>
  <c r="K65" i="15"/>
  <c r="J65" i="15"/>
  <c r="I65" i="15"/>
  <c r="H65" i="15"/>
  <c r="G65" i="15"/>
  <c r="F65" i="15"/>
  <c r="E65" i="15"/>
  <c r="D65" i="15"/>
  <c r="C65" i="15"/>
  <c r="B65" i="15" s="1"/>
  <c r="B64" i="15"/>
  <c r="B63" i="15"/>
  <c r="B62" i="15"/>
  <c r="B61" i="15"/>
  <c r="B60" i="15"/>
  <c r="B59" i="15"/>
  <c r="B58" i="15"/>
  <c r="B57" i="15"/>
  <c r="B56" i="15"/>
  <c r="N55" i="15"/>
  <c r="M55" i="15"/>
  <c r="L55" i="15"/>
  <c r="K55" i="15"/>
  <c r="J55" i="15"/>
  <c r="I55" i="15"/>
  <c r="H55" i="15"/>
  <c r="G55" i="15"/>
  <c r="F55" i="15"/>
  <c r="E55" i="15"/>
  <c r="D55" i="15"/>
  <c r="C55" i="15"/>
  <c r="B54" i="15"/>
  <c r="B53" i="15"/>
  <c r="B52" i="15"/>
  <c r="B51" i="15"/>
  <c r="B50" i="15"/>
  <c r="B49" i="15"/>
  <c r="B48" i="15"/>
  <c r="N47" i="15"/>
  <c r="M47" i="15"/>
  <c r="L47" i="15"/>
  <c r="K47" i="15"/>
  <c r="J47" i="15"/>
  <c r="I47" i="15"/>
  <c r="H47" i="15"/>
  <c r="G47" i="15"/>
  <c r="F47" i="15"/>
  <c r="E47" i="15"/>
  <c r="D47" i="15"/>
  <c r="C47" i="15"/>
  <c r="B47" i="15" s="1"/>
  <c r="B46" i="15"/>
  <c r="B45" i="15"/>
  <c r="B44" i="15"/>
  <c r="B43" i="15"/>
  <c r="B42" i="15"/>
  <c r="B41" i="15"/>
  <c r="B40" i="15"/>
  <c r="N39" i="15"/>
  <c r="M39" i="15"/>
  <c r="L39" i="15"/>
  <c r="K39" i="15"/>
  <c r="J39" i="15"/>
  <c r="I39" i="15"/>
  <c r="H39" i="15"/>
  <c r="G39" i="15"/>
  <c r="F39" i="15"/>
  <c r="E39" i="15"/>
  <c r="D39" i="15"/>
  <c r="C39" i="15"/>
  <c r="B38" i="15"/>
  <c r="B37" i="15"/>
  <c r="B36" i="15"/>
  <c r="B35" i="15"/>
  <c r="B34" i="15"/>
  <c r="B33" i="15"/>
  <c r="B32" i="15"/>
  <c r="B31" i="15"/>
  <c r="B30" i="15"/>
  <c r="N29" i="15"/>
  <c r="M29" i="15"/>
  <c r="L29" i="15"/>
  <c r="K29" i="15"/>
  <c r="J29" i="15"/>
  <c r="I29" i="15"/>
  <c r="H29" i="15"/>
  <c r="G29" i="15"/>
  <c r="F29" i="15"/>
  <c r="E29" i="15"/>
  <c r="D29" i="15"/>
  <c r="C29" i="15"/>
  <c r="B28" i="15"/>
  <c r="B27" i="15"/>
  <c r="B26" i="15"/>
  <c r="B25" i="15"/>
  <c r="B24" i="15"/>
  <c r="B23" i="15"/>
  <c r="B22" i="15"/>
  <c r="B21" i="15"/>
  <c r="B20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N18" i="15"/>
  <c r="M18" i="15"/>
  <c r="L18" i="15"/>
  <c r="K18" i="15"/>
  <c r="J18" i="15"/>
  <c r="I18" i="15"/>
  <c r="I13" i="15" s="1"/>
  <c r="I77" i="15" s="1"/>
  <c r="G18" i="15"/>
  <c r="F18" i="15"/>
  <c r="E18" i="15"/>
  <c r="D18" i="15"/>
  <c r="C18" i="15"/>
  <c r="B17" i="15"/>
  <c r="B16" i="15"/>
  <c r="N13" i="15"/>
  <c r="M15" i="15"/>
  <c r="L15" i="15"/>
  <c r="K15" i="15"/>
  <c r="J15" i="15"/>
  <c r="J13" i="15" s="1"/>
  <c r="J77" i="15" s="1"/>
  <c r="F15" i="15"/>
  <c r="E15" i="15"/>
  <c r="D15" i="15"/>
  <c r="C15" i="15"/>
  <c r="B15" i="15" s="1"/>
  <c r="N14" i="15"/>
  <c r="M14" i="15"/>
  <c r="L14" i="15"/>
  <c r="L13" i="15" s="1"/>
  <c r="L77" i="15" s="1"/>
  <c r="K14" i="15"/>
  <c r="G14" i="15"/>
  <c r="G13" i="15" s="1"/>
  <c r="G77" i="15" s="1"/>
  <c r="F14" i="15"/>
  <c r="F13" i="15" s="1"/>
  <c r="F77" i="15" s="1"/>
  <c r="E14" i="15"/>
  <c r="D14" i="15"/>
  <c r="C14" i="15"/>
  <c r="M13" i="15"/>
  <c r="M77" i="15" s="1"/>
  <c r="H13" i="15"/>
  <c r="H77" i="15" s="1"/>
  <c r="E13" i="15"/>
  <c r="E77" i="15" s="1"/>
  <c r="M89" i="5"/>
  <c r="M11" i="5"/>
  <c r="L89" i="5"/>
  <c r="I92" i="5"/>
  <c r="K89" i="5"/>
  <c r="J89" i="5"/>
  <c r="J11" i="5"/>
  <c r="I43" i="5"/>
  <c r="I89" i="5"/>
  <c r="N77" i="15" l="1"/>
  <c r="B29" i="15"/>
  <c r="B18" i="15"/>
  <c r="B14" i="15"/>
  <c r="K13" i="15"/>
  <c r="K77" i="15" s="1"/>
  <c r="D13" i="15"/>
  <c r="D77" i="15" s="1"/>
  <c r="B19" i="15"/>
  <c r="B55" i="15"/>
  <c r="B39" i="15"/>
  <c r="C13" i="15"/>
  <c r="H89" i="5"/>
  <c r="G43" i="5"/>
  <c r="G89" i="5"/>
  <c r="F89" i="5"/>
  <c r="E89" i="5"/>
  <c r="D89" i="5"/>
  <c r="C89" i="5"/>
  <c r="C77" i="15" l="1"/>
  <c r="B13" i="15"/>
  <c r="B77" i="15" s="1"/>
  <c r="H63" i="4"/>
  <c r="H62" i="4"/>
  <c r="H61" i="4"/>
  <c r="H60" i="4"/>
  <c r="H59" i="4"/>
  <c r="H58" i="4"/>
  <c r="H57" i="4"/>
  <c r="H56" i="4"/>
  <c r="H55" i="4"/>
  <c r="H53" i="4"/>
  <c r="H52" i="4"/>
  <c r="H51" i="4"/>
  <c r="H50" i="4"/>
  <c r="H49" i="4"/>
  <c r="H48" i="4"/>
  <c r="H47" i="4"/>
  <c r="H45" i="4"/>
  <c r="H44" i="4"/>
  <c r="H43" i="4"/>
  <c r="H42" i="4"/>
  <c r="H41" i="4"/>
  <c r="H40" i="4"/>
  <c r="H39" i="4"/>
  <c r="H37" i="4"/>
  <c r="H36" i="4"/>
  <c r="H35" i="4"/>
  <c r="H34" i="4"/>
  <c r="H33" i="4"/>
  <c r="H32" i="4"/>
  <c r="H31" i="4"/>
  <c r="H30" i="4"/>
  <c r="H29" i="4"/>
  <c r="H27" i="4"/>
  <c r="H26" i="4"/>
  <c r="H25" i="4"/>
  <c r="H24" i="4"/>
  <c r="H23" i="4"/>
  <c r="H22" i="4"/>
  <c r="H21" i="4"/>
  <c r="H20" i="4"/>
  <c r="H19" i="4"/>
  <c r="G25" i="4"/>
  <c r="E10" i="6"/>
  <c r="D14" i="6"/>
  <c r="D11" i="6"/>
  <c r="D10" i="6"/>
  <c r="H18" i="4" l="1"/>
  <c r="J17" i="10" l="1"/>
  <c r="F58" i="8" l="1"/>
  <c r="H183" i="10"/>
  <c r="J214" i="10" l="1"/>
  <c r="Z36" i="14" l="1"/>
  <c r="Y36" i="14"/>
  <c r="X36" i="14"/>
  <c r="W36" i="14"/>
  <c r="V36" i="14"/>
  <c r="U36" i="14"/>
  <c r="T36" i="14"/>
  <c r="S36" i="14"/>
  <c r="R36" i="14"/>
  <c r="Q36" i="14"/>
  <c r="P36" i="14"/>
  <c r="O36" i="14"/>
  <c r="N36" i="14"/>
  <c r="M36" i="14"/>
  <c r="L36" i="14"/>
  <c r="K36" i="14"/>
  <c r="J36" i="14"/>
  <c r="I36" i="14"/>
  <c r="H36" i="14"/>
  <c r="G36" i="14"/>
  <c r="Z13" i="14"/>
  <c r="Z37" i="14" s="1"/>
  <c r="Y13" i="14"/>
  <c r="Y37" i="14" s="1"/>
  <c r="X13" i="14"/>
  <c r="X37" i="14" s="1"/>
  <c r="W13" i="14"/>
  <c r="W37" i="14" s="1"/>
  <c r="V13" i="14"/>
  <c r="V37" i="14" s="1"/>
  <c r="U13" i="14"/>
  <c r="U37" i="14" s="1"/>
  <c r="T13" i="14"/>
  <c r="T37" i="14" s="1"/>
  <c r="S13" i="14"/>
  <c r="R13" i="14"/>
  <c r="R37" i="14" s="1"/>
  <c r="Q13" i="14"/>
  <c r="Q37" i="14" s="1"/>
  <c r="P13" i="14"/>
  <c r="P37" i="14" s="1"/>
  <c r="O13" i="14"/>
  <c r="O37" i="14" s="1"/>
  <c r="N13" i="14"/>
  <c r="N37" i="14" s="1"/>
  <c r="M13" i="14"/>
  <c r="M37" i="14" s="1"/>
  <c r="L13" i="14"/>
  <c r="L37" i="14" s="1"/>
  <c r="K13" i="14"/>
  <c r="K37" i="14" s="1"/>
  <c r="J13" i="14"/>
  <c r="I13" i="14"/>
  <c r="I37" i="14" s="1"/>
  <c r="H13" i="14"/>
  <c r="H37" i="14" s="1"/>
  <c r="G13" i="14"/>
  <c r="G37" i="14" s="1"/>
  <c r="F13" i="14"/>
  <c r="F37" i="14" s="1"/>
  <c r="E13" i="14"/>
  <c r="E37" i="14" s="1"/>
  <c r="D13" i="14"/>
  <c r="D37" i="14" s="1"/>
  <c r="C13" i="14"/>
  <c r="C37" i="14" s="1"/>
  <c r="E34" i="9"/>
  <c r="D34" i="9"/>
  <c r="F33" i="9"/>
  <c r="I33" i="9" s="1"/>
  <c r="F32" i="9"/>
  <c r="I32" i="9" s="1"/>
  <c r="F31" i="9"/>
  <c r="I31" i="9" s="1"/>
  <c r="F30" i="9"/>
  <c r="I30" i="9" s="1"/>
  <c r="F29" i="9"/>
  <c r="I29" i="9" s="1"/>
  <c r="F28" i="9"/>
  <c r="I28" i="9" s="1"/>
  <c r="F27" i="9"/>
  <c r="I27" i="9" s="1"/>
  <c r="F26" i="9"/>
  <c r="I26" i="9" s="1"/>
  <c r="F25" i="9"/>
  <c r="I25" i="9" s="1"/>
  <c r="F24" i="9"/>
  <c r="I24" i="9" s="1"/>
  <c r="F23" i="9"/>
  <c r="I23" i="9" s="1"/>
  <c r="F22" i="9"/>
  <c r="I22" i="9" s="1"/>
  <c r="F21" i="9"/>
  <c r="I21" i="9" s="1"/>
  <c r="F20" i="9"/>
  <c r="I20" i="9" s="1"/>
  <c r="F19" i="9"/>
  <c r="I19" i="9" s="1"/>
  <c r="F18" i="9"/>
  <c r="I18" i="9" s="1"/>
  <c r="F17" i="9"/>
  <c r="I17" i="9" s="1"/>
  <c r="F16" i="9"/>
  <c r="I16" i="9" s="1"/>
  <c r="F15" i="9"/>
  <c r="I15" i="9" s="1"/>
  <c r="F14" i="9"/>
  <c r="I14" i="9" s="1"/>
  <c r="F13" i="9"/>
  <c r="I13" i="9" s="1"/>
  <c r="F12" i="9"/>
  <c r="I12" i="9" s="1"/>
  <c r="F11" i="9"/>
  <c r="I11" i="9" s="1"/>
  <c r="F10" i="9"/>
  <c r="S37" i="14" l="1"/>
  <c r="F34" i="9"/>
  <c r="J37" i="14"/>
  <c r="I10" i="9"/>
  <c r="I34" i="9" s="1"/>
  <c r="D30" i="13" l="1"/>
  <c r="B30" i="13"/>
  <c r="C29" i="13"/>
  <c r="E28" i="13"/>
  <c r="C28" i="13"/>
  <c r="E27" i="13"/>
  <c r="C27" i="13"/>
  <c r="E26" i="13"/>
  <c r="C26" i="13"/>
  <c r="C25" i="13"/>
  <c r="C24" i="13"/>
  <c r="E23" i="13"/>
  <c r="C23" i="13"/>
  <c r="C22" i="13"/>
  <c r="C21" i="13"/>
  <c r="C20" i="13"/>
  <c r="C19" i="13"/>
  <c r="C18" i="13"/>
  <c r="C17" i="13"/>
  <c r="C16" i="13"/>
  <c r="E15" i="13"/>
  <c r="C15" i="13"/>
  <c r="C14" i="13"/>
  <c r="C13" i="13"/>
  <c r="C12" i="13"/>
  <c r="C11" i="13"/>
  <c r="C10" i="13"/>
  <c r="C9" i="13"/>
  <c r="E8" i="13"/>
  <c r="C8" i="13"/>
  <c r="E7" i="13"/>
  <c r="C7" i="13"/>
  <c r="E6" i="13"/>
  <c r="C6" i="13"/>
  <c r="E30" i="13" l="1"/>
  <c r="C30" i="13"/>
  <c r="E69" i="12"/>
  <c r="E68" i="12"/>
  <c r="E67" i="12"/>
  <c r="E66" i="12"/>
  <c r="E65" i="12"/>
  <c r="E64" i="12"/>
  <c r="E63" i="12"/>
  <c r="E62" i="12"/>
  <c r="E61" i="12"/>
  <c r="E60" i="12"/>
  <c r="D59" i="12"/>
  <c r="E59" i="12" s="1"/>
  <c r="E58" i="12"/>
  <c r="E57" i="12"/>
  <c r="D56" i="12"/>
  <c r="E56" i="12" s="1"/>
  <c r="E55" i="12"/>
  <c r="E54" i="12"/>
  <c r="D53" i="12"/>
  <c r="C53" i="12"/>
  <c r="D52" i="12"/>
  <c r="E52" i="12" s="1"/>
  <c r="E51" i="12"/>
  <c r="E50" i="12"/>
  <c r="E49" i="12"/>
  <c r="E48" i="12"/>
  <c r="D47" i="12"/>
  <c r="E47" i="12" s="1"/>
  <c r="D46" i="12"/>
  <c r="E46" i="12" s="1"/>
  <c r="D45" i="12"/>
  <c r="E45" i="12" s="1"/>
  <c r="E44" i="12"/>
  <c r="E43" i="12"/>
  <c r="D42" i="12"/>
  <c r="E42" i="12" s="1"/>
  <c r="D41" i="12"/>
  <c r="C41" i="12"/>
  <c r="E40" i="12"/>
  <c r="E39" i="12"/>
  <c r="E38" i="12"/>
  <c r="E37" i="12"/>
  <c r="E36" i="12"/>
  <c r="E35" i="12"/>
  <c r="C34" i="12"/>
  <c r="E34" i="12" s="1"/>
  <c r="E33" i="12"/>
  <c r="D32" i="12"/>
  <c r="E32" i="12" s="1"/>
  <c r="E31" i="12"/>
  <c r="E30" i="12"/>
  <c r="E29" i="12"/>
  <c r="E28" i="12"/>
  <c r="D27" i="12"/>
  <c r="E27" i="12" s="1"/>
  <c r="E26" i="12"/>
  <c r="E25" i="12"/>
  <c r="D24" i="12"/>
  <c r="E24" i="12" s="1"/>
  <c r="D23" i="12"/>
  <c r="C23" i="12"/>
  <c r="E22" i="12"/>
  <c r="E21" i="12"/>
  <c r="E20" i="12"/>
  <c r="E19" i="12"/>
  <c r="D18" i="12"/>
  <c r="C18" i="12"/>
  <c r="E18" i="12" s="1"/>
  <c r="E17" i="12"/>
  <c r="D16" i="12"/>
  <c r="E16" i="12" s="1"/>
  <c r="D15" i="12"/>
  <c r="E15" i="12" s="1"/>
  <c r="E14" i="12"/>
  <c r="E13" i="12"/>
  <c r="E12" i="12"/>
  <c r="D11" i="12"/>
  <c r="E9" i="12"/>
  <c r="F69" i="11"/>
  <c r="G69" i="11" s="1"/>
  <c r="F68" i="11"/>
  <c r="G68" i="11" s="1"/>
  <c r="G67" i="11"/>
  <c r="F67" i="11"/>
  <c r="F66" i="11"/>
  <c r="G66" i="11" s="1"/>
  <c r="E65" i="11"/>
  <c r="G65" i="11" s="1"/>
  <c r="F64" i="11"/>
  <c r="G64" i="11" s="1"/>
  <c r="G63" i="11"/>
  <c r="F63" i="11"/>
  <c r="F62" i="11"/>
  <c r="G62" i="11" s="1"/>
  <c r="F61" i="11"/>
  <c r="G61" i="11" s="1"/>
  <c r="E61" i="11"/>
  <c r="F60" i="11"/>
  <c r="G60" i="11" s="1"/>
  <c r="F59" i="11"/>
  <c r="E59" i="11"/>
  <c r="G59" i="11" s="1"/>
  <c r="G58" i="11"/>
  <c r="G57" i="11"/>
  <c r="G56" i="11"/>
  <c r="G55" i="11"/>
  <c r="G54" i="11"/>
  <c r="G53" i="11"/>
  <c r="F52" i="11"/>
  <c r="G52" i="11" s="1"/>
  <c r="G51" i="11"/>
  <c r="F51" i="11"/>
  <c r="F50" i="11"/>
  <c r="G50" i="11" s="1"/>
  <c r="F49" i="11"/>
  <c r="G49" i="11" s="1"/>
  <c r="G48" i="11"/>
  <c r="G47" i="11"/>
  <c r="G46" i="11"/>
  <c r="F45" i="11"/>
  <c r="G45" i="11" s="1"/>
  <c r="F44" i="11"/>
  <c r="G44" i="11" s="1"/>
  <c r="G43" i="11"/>
  <c r="E42" i="11"/>
  <c r="G42" i="11" s="1"/>
  <c r="F41" i="11"/>
  <c r="G41" i="11" s="1"/>
  <c r="G40" i="11"/>
  <c r="G39" i="11"/>
  <c r="F38" i="11"/>
  <c r="G38" i="11" s="1"/>
  <c r="G37" i="11"/>
  <c r="F36" i="11"/>
  <c r="G36" i="11" s="1"/>
  <c r="F35" i="11"/>
  <c r="G35" i="11" s="1"/>
  <c r="F34" i="11"/>
  <c r="G34" i="11" s="1"/>
  <c r="F33" i="11"/>
  <c r="G33" i="11" s="1"/>
  <c r="G32" i="11"/>
  <c r="F31" i="11"/>
  <c r="G31" i="11" s="1"/>
  <c r="F30" i="11"/>
  <c r="G30" i="11" s="1"/>
  <c r="F29" i="11"/>
  <c r="G29" i="11" s="1"/>
  <c r="G28" i="11"/>
  <c r="G27" i="11"/>
  <c r="E26" i="11"/>
  <c r="G26" i="11" s="1"/>
  <c r="G25" i="11"/>
  <c r="F24" i="11"/>
  <c r="G24" i="11" s="1"/>
  <c r="G23" i="11"/>
  <c r="F22" i="11"/>
  <c r="G22" i="11" s="1"/>
  <c r="F21" i="11"/>
  <c r="G21" i="11" s="1"/>
  <c r="G20" i="11"/>
  <c r="F19" i="11"/>
  <c r="G19" i="11" s="1"/>
  <c r="G18" i="11"/>
  <c r="F17" i="11"/>
  <c r="G17" i="11" s="1"/>
  <c r="G16" i="11"/>
  <c r="F15" i="11"/>
  <c r="G15" i="11" s="1"/>
  <c r="F14" i="11"/>
  <c r="G14" i="11" s="1"/>
  <c r="F13" i="11"/>
  <c r="G13" i="11" s="1"/>
  <c r="G12" i="11"/>
  <c r="G11" i="11"/>
  <c r="F10" i="11"/>
  <c r="G10" i="11" s="1"/>
  <c r="E9" i="11"/>
  <c r="G9" i="11" s="1"/>
  <c r="G8" i="11"/>
  <c r="E55" i="8"/>
  <c r="E50" i="8"/>
  <c r="E16" i="8"/>
  <c r="D8" i="7"/>
  <c r="D14" i="7" s="1"/>
  <c r="E23" i="12" l="1"/>
  <c r="E53" i="12"/>
  <c r="E56" i="8"/>
  <c r="F60" i="8" s="1"/>
  <c r="E41" i="12"/>
  <c r="D70" i="12"/>
  <c r="C70" i="12"/>
  <c r="E11" i="12"/>
  <c r="E70" i="12" s="1"/>
  <c r="G70" i="11"/>
  <c r="E70" i="11"/>
  <c r="F70" i="11"/>
  <c r="H210" i="10" l="1"/>
  <c r="H47" i="10"/>
  <c r="H173" i="10"/>
  <c r="H140" i="10"/>
  <c r="G63" i="10" l="1"/>
  <c r="J36" i="10" l="1"/>
  <c r="J86" i="10" l="1"/>
  <c r="J43" i="10" l="1"/>
  <c r="H85" i="10" l="1"/>
  <c r="G35" i="10" l="1"/>
  <c r="I35" i="10"/>
  <c r="H35" i="10"/>
  <c r="G87" i="10" l="1"/>
  <c r="G85" i="10"/>
  <c r="G83" i="10"/>
  <c r="G81" i="10"/>
  <c r="H83" i="10"/>
  <c r="H81" i="10"/>
  <c r="G80" i="10" l="1"/>
  <c r="H44" i="10"/>
  <c r="J498" i="10" l="1"/>
  <c r="I497" i="10"/>
  <c r="H497" i="10"/>
  <c r="G497" i="10"/>
  <c r="J496" i="10"/>
  <c r="I495" i="10"/>
  <c r="H495" i="10"/>
  <c r="H494" i="10" s="1"/>
  <c r="G495" i="10"/>
  <c r="J493" i="10"/>
  <c r="I492" i="10"/>
  <c r="H492" i="10"/>
  <c r="G492" i="10"/>
  <c r="J491" i="10"/>
  <c r="I490" i="10"/>
  <c r="H490" i="10"/>
  <c r="H489" i="10" s="1"/>
  <c r="G490" i="10"/>
  <c r="J488" i="10"/>
  <c r="I487" i="10"/>
  <c r="H487" i="10"/>
  <c r="G487" i="10"/>
  <c r="J486" i="10"/>
  <c r="I485" i="10"/>
  <c r="H485" i="10"/>
  <c r="G485" i="10"/>
  <c r="J484" i="10"/>
  <c r="I483" i="10"/>
  <c r="H483" i="10"/>
  <c r="G483" i="10"/>
  <c r="J482" i="10"/>
  <c r="I481" i="10"/>
  <c r="H481" i="10"/>
  <c r="G481" i="10"/>
  <c r="J480" i="10"/>
  <c r="I479" i="10"/>
  <c r="H479" i="10"/>
  <c r="G479" i="10"/>
  <c r="J478" i="10"/>
  <c r="I477" i="10"/>
  <c r="H477" i="10"/>
  <c r="G477" i="10"/>
  <c r="J476" i="10"/>
  <c r="I475" i="10"/>
  <c r="H475" i="10"/>
  <c r="G475" i="10"/>
  <c r="J474" i="10"/>
  <c r="I473" i="10"/>
  <c r="H473" i="10"/>
  <c r="G473" i="10"/>
  <c r="J472" i="10"/>
  <c r="I471" i="10"/>
  <c r="H471" i="10"/>
  <c r="G471" i="10"/>
  <c r="J469" i="10"/>
  <c r="I468" i="10"/>
  <c r="H468" i="10"/>
  <c r="G468" i="10"/>
  <c r="J467" i="10"/>
  <c r="I466" i="10"/>
  <c r="H466" i="10"/>
  <c r="G466" i="10"/>
  <c r="J465" i="10"/>
  <c r="I464" i="10"/>
  <c r="H464" i="10"/>
  <c r="G464" i="10"/>
  <c r="J463" i="10"/>
  <c r="I462" i="10"/>
  <c r="H462" i="10"/>
  <c r="G462" i="10"/>
  <c r="J459" i="10"/>
  <c r="I458" i="10"/>
  <c r="H458" i="10"/>
  <c r="G458" i="10"/>
  <c r="J457" i="10"/>
  <c r="J456" i="10"/>
  <c r="J455" i="10"/>
  <c r="I454" i="10"/>
  <c r="H454" i="10"/>
  <c r="G454" i="10"/>
  <c r="J453" i="10"/>
  <c r="I452" i="10"/>
  <c r="H452" i="10"/>
  <c r="G452" i="10"/>
  <c r="J451" i="10"/>
  <c r="I450" i="10"/>
  <c r="H450" i="10"/>
  <c r="G450" i="10"/>
  <c r="J449" i="10"/>
  <c r="I448" i="10"/>
  <c r="H448" i="10"/>
  <c r="G448" i="10"/>
  <c r="J447" i="10"/>
  <c r="I446" i="10"/>
  <c r="H446" i="10"/>
  <c r="G446" i="10"/>
  <c r="H445" i="10"/>
  <c r="J444" i="10"/>
  <c r="I443" i="10"/>
  <c r="H443" i="10"/>
  <c r="G443" i="10"/>
  <c r="J442" i="10"/>
  <c r="J441" i="10"/>
  <c r="J440" i="10"/>
  <c r="J439" i="10"/>
  <c r="I438" i="10"/>
  <c r="H438" i="10"/>
  <c r="G438" i="10"/>
  <c r="J437" i="10"/>
  <c r="I436" i="10"/>
  <c r="H436" i="10"/>
  <c r="G436" i="10"/>
  <c r="J435" i="10"/>
  <c r="I434" i="10"/>
  <c r="H434" i="10"/>
  <c r="G434" i="10"/>
  <c r="J433" i="10"/>
  <c r="I432" i="10"/>
  <c r="H432" i="10"/>
  <c r="G432" i="10"/>
  <c r="J431" i="10"/>
  <c r="I430" i="10"/>
  <c r="H430" i="10"/>
  <c r="G430" i="10"/>
  <c r="J429" i="10"/>
  <c r="J428" i="10"/>
  <c r="I427" i="10"/>
  <c r="H427" i="10"/>
  <c r="G427" i="10"/>
  <c r="J426" i="10"/>
  <c r="I425" i="10"/>
  <c r="H425" i="10"/>
  <c r="G425" i="10"/>
  <c r="J424" i="10"/>
  <c r="I423" i="10"/>
  <c r="H423" i="10"/>
  <c r="G423" i="10"/>
  <c r="G422" i="10" s="1"/>
  <c r="J421" i="10"/>
  <c r="I420" i="10"/>
  <c r="H420" i="10"/>
  <c r="G420" i="10"/>
  <c r="J419" i="10"/>
  <c r="I418" i="10"/>
  <c r="H418" i="10"/>
  <c r="G418" i="10"/>
  <c r="J417" i="10"/>
  <c r="I416" i="10"/>
  <c r="H416" i="10"/>
  <c r="G416" i="10"/>
  <c r="J415" i="10"/>
  <c r="I414" i="10"/>
  <c r="H414" i="10"/>
  <c r="G414" i="10"/>
  <c r="J413" i="10"/>
  <c r="I412" i="10"/>
  <c r="H412" i="10"/>
  <c r="G412" i="10"/>
  <c r="J411" i="10"/>
  <c r="I410" i="10"/>
  <c r="H410" i="10"/>
  <c r="G410" i="10"/>
  <c r="J409" i="10"/>
  <c r="I408" i="10"/>
  <c r="H408" i="10"/>
  <c r="G408" i="10"/>
  <c r="J407" i="10"/>
  <c r="I406" i="10"/>
  <c r="H406" i="10"/>
  <c r="G406" i="10"/>
  <c r="J405" i="10"/>
  <c r="I404" i="10"/>
  <c r="I403" i="10" s="1"/>
  <c r="H404" i="10"/>
  <c r="G404" i="10"/>
  <c r="J402" i="10"/>
  <c r="I401" i="10"/>
  <c r="H401" i="10"/>
  <c r="G401" i="10"/>
  <c r="J400" i="10"/>
  <c r="I399" i="10"/>
  <c r="I398" i="10" s="1"/>
  <c r="H399" i="10"/>
  <c r="G399" i="10"/>
  <c r="J397" i="10"/>
  <c r="I396" i="10"/>
  <c r="H396" i="10"/>
  <c r="G396" i="10"/>
  <c r="J395" i="10"/>
  <c r="I394" i="10"/>
  <c r="H394" i="10"/>
  <c r="G394" i="10"/>
  <c r="J393" i="10"/>
  <c r="I392" i="10"/>
  <c r="H392" i="10"/>
  <c r="G392" i="10"/>
  <c r="J391" i="10"/>
  <c r="I390" i="10"/>
  <c r="H390" i="10"/>
  <c r="G390" i="10"/>
  <c r="J389" i="10"/>
  <c r="I388" i="10"/>
  <c r="H388" i="10"/>
  <c r="G388" i="10"/>
  <c r="J387" i="10"/>
  <c r="I386" i="10"/>
  <c r="H386" i="10"/>
  <c r="G386" i="10"/>
  <c r="J385" i="10"/>
  <c r="J384" i="10"/>
  <c r="I383" i="10"/>
  <c r="H383" i="10"/>
  <c r="G383" i="10"/>
  <c r="J382" i="10"/>
  <c r="I381" i="10"/>
  <c r="H381" i="10"/>
  <c r="G381" i="10"/>
  <c r="J379" i="10"/>
  <c r="I378" i="10"/>
  <c r="H378" i="10"/>
  <c r="G378" i="10"/>
  <c r="J377" i="10"/>
  <c r="I376" i="10"/>
  <c r="H376" i="10"/>
  <c r="G376" i="10"/>
  <c r="J375" i="10"/>
  <c r="I374" i="10"/>
  <c r="H374" i="10"/>
  <c r="G374" i="10"/>
  <c r="J373" i="10"/>
  <c r="I372" i="10"/>
  <c r="H372" i="10"/>
  <c r="G372" i="10"/>
  <c r="J371" i="10"/>
  <c r="I370" i="10"/>
  <c r="H370" i="10"/>
  <c r="G370" i="10"/>
  <c r="J369" i="10"/>
  <c r="I368" i="10"/>
  <c r="H368" i="10"/>
  <c r="G368" i="10"/>
  <c r="J367" i="10"/>
  <c r="I366" i="10"/>
  <c r="H366" i="10"/>
  <c r="G366" i="10"/>
  <c r="J365" i="10"/>
  <c r="I364" i="10"/>
  <c r="H364" i="10"/>
  <c r="G364" i="10"/>
  <c r="G363" i="10" s="1"/>
  <c r="J362" i="10"/>
  <c r="I361" i="10"/>
  <c r="H361" i="10"/>
  <c r="G361" i="10"/>
  <c r="J360" i="10"/>
  <c r="I359" i="10"/>
  <c r="H359" i="10"/>
  <c r="G359" i="10"/>
  <c r="J358" i="10"/>
  <c r="I357" i="10"/>
  <c r="H357" i="10"/>
  <c r="G357" i="10"/>
  <c r="J356" i="10"/>
  <c r="I355" i="10"/>
  <c r="H355" i="10"/>
  <c r="G355" i="10"/>
  <c r="G354" i="10" s="1"/>
  <c r="J353" i="10"/>
  <c r="I352" i="10"/>
  <c r="H352" i="10"/>
  <c r="G352" i="10"/>
  <c r="J351" i="10"/>
  <c r="I350" i="10"/>
  <c r="H350" i="10"/>
  <c r="G350" i="10"/>
  <c r="J349" i="10"/>
  <c r="I348" i="10"/>
  <c r="H348" i="10"/>
  <c r="G348" i="10"/>
  <c r="J347" i="10"/>
  <c r="I346" i="10"/>
  <c r="H346" i="10"/>
  <c r="G346" i="10"/>
  <c r="G345" i="10" s="1"/>
  <c r="J344" i="10"/>
  <c r="I343" i="10"/>
  <c r="H343" i="10"/>
  <c r="G343" i="10"/>
  <c r="J342" i="10"/>
  <c r="I341" i="10"/>
  <c r="H341" i="10"/>
  <c r="G341" i="10"/>
  <c r="J340" i="10"/>
  <c r="I339" i="10"/>
  <c r="H339" i="10"/>
  <c r="G339" i="10"/>
  <c r="J338" i="10"/>
  <c r="I337" i="10"/>
  <c r="H337" i="10"/>
  <c r="G337" i="10"/>
  <c r="J336" i="10"/>
  <c r="I335" i="10"/>
  <c r="H335" i="10"/>
  <c r="G335" i="10"/>
  <c r="J332" i="10"/>
  <c r="J331" i="10"/>
  <c r="J330" i="10"/>
  <c r="J329" i="10"/>
  <c r="J328" i="10"/>
  <c r="I327" i="10"/>
  <c r="H327" i="10"/>
  <c r="G327" i="10"/>
  <c r="J326" i="10"/>
  <c r="I325" i="10"/>
  <c r="H325" i="10"/>
  <c r="G325" i="10"/>
  <c r="J324" i="10"/>
  <c r="J323" i="10"/>
  <c r="I322" i="10"/>
  <c r="H322" i="10"/>
  <c r="G322" i="10"/>
  <c r="J321" i="10"/>
  <c r="I320" i="10"/>
  <c r="H320" i="10"/>
  <c r="G320" i="10"/>
  <c r="I318" i="10"/>
  <c r="G318" i="10"/>
  <c r="J317" i="10"/>
  <c r="I316" i="10"/>
  <c r="H316" i="10"/>
  <c r="G316" i="10"/>
  <c r="J315" i="10"/>
  <c r="I314" i="10"/>
  <c r="H314" i="10"/>
  <c r="G314" i="10"/>
  <c r="J313" i="10"/>
  <c r="I312" i="10"/>
  <c r="H312" i="10"/>
  <c r="G312" i="10"/>
  <c r="J311" i="10"/>
  <c r="I310" i="10"/>
  <c r="H310" i="10"/>
  <c r="G310" i="10"/>
  <c r="J309" i="10"/>
  <c r="I308" i="10"/>
  <c r="H308" i="10"/>
  <c r="G308" i="10"/>
  <c r="J306" i="10"/>
  <c r="I305" i="10"/>
  <c r="H305" i="10"/>
  <c r="G305" i="10"/>
  <c r="J304" i="10"/>
  <c r="I303" i="10"/>
  <c r="I302" i="10" s="1"/>
  <c r="H303" i="10"/>
  <c r="G303" i="10"/>
  <c r="J301" i="10"/>
  <c r="J300" i="10"/>
  <c r="J299" i="10"/>
  <c r="J298" i="10"/>
  <c r="J297" i="10"/>
  <c r="J296" i="10"/>
  <c r="J295" i="10"/>
  <c r="I294" i="10"/>
  <c r="H294" i="10"/>
  <c r="G294" i="10"/>
  <c r="J293" i="10"/>
  <c r="J292" i="10"/>
  <c r="J291" i="10"/>
  <c r="J290" i="10"/>
  <c r="J289" i="10"/>
  <c r="J288" i="10"/>
  <c r="J287" i="10"/>
  <c r="I286" i="10"/>
  <c r="H286" i="10"/>
  <c r="G286" i="10"/>
  <c r="J284" i="10"/>
  <c r="I283" i="10"/>
  <c r="H283" i="10"/>
  <c r="G283" i="10"/>
  <c r="J282" i="10"/>
  <c r="J281" i="10"/>
  <c r="J280" i="10"/>
  <c r="J279" i="10"/>
  <c r="J278" i="10"/>
  <c r="J277" i="10"/>
  <c r="J276" i="10"/>
  <c r="I275" i="10"/>
  <c r="H275" i="10"/>
  <c r="G275" i="10"/>
  <c r="J273" i="10"/>
  <c r="J272" i="10"/>
  <c r="I271" i="10"/>
  <c r="G271" i="10"/>
  <c r="J270" i="10"/>
  <c r="J269" i="10"/>
  <c r="J268" i="10"/>
  <c r="I267" i="10"/>
  <c r="H267" i="10"/>
  <c r="G267" i="10"/>
  <c r="J266" i="10"/>
  <c r="J265" i="10"/>
  <c r="J264" i="10"/>
  <c r="J263" i="10"/>
  <c r="J262" i="10"/>
  <c r="I261" i="10"/>
  <c r="H261" i="10"/>
  <c r="G261" i="10"/>
  <c r="I258" i="10"/>
  <c r="G258" i="10"/>
  <c r="J257" i="10"/>
  <c r="I256" i="10"/>
  <c r="H256" i="10"/>
  <c r="G256" i="10"/>
  <c r="J255" i="10"/>
  <c r="I254" i="10"/>
  <c r="H254" i="10"/>
  <c r="G254" i="10"/>
  <c r="J253" i="10"/>
  <c r="I252" i="10"/>
  <c r="H252" i="10"/>
  <c r="G252" i="10"/>
  <c r="J251" i="10"/>
  <c r="I250" i="10"/>
  <c r="H250" i="10"/>
  <c r="G250" i="10"/>
  <c r="J248" i="10"/>
  <c r="I247" i="10"/>
  <c r="H247" i="10"/>
  <c r="G247" i="10"/>
  <c r="J246" i="10"/>
  <c r="I245" i="10"/>
  <c r="I244" i="10" s="1"/>
  <c r="H245" i="10"/>
  <c r="G245" i="10"/>
  <c r="J243" i="10"/>
  <c r="I242" i="10"/>
  <c r="H242" i="10"/>
  <c r="G242" i="10"/>
  <c r="J241" i="10"/>
  <c r="I240" i="10"/>
  <c r="H240" i="10"/>
  <c r="G240" i="10"/>
  <c r="J239" i="10"/>
  <c r="I238" i="10"/>
  <c r="H238" i="10"/>
  <c r="G238" i="10"/>
  <c r="J237" i="10"/>
  <c r="I236" i="10"/>
  <c r="H236" i="10"/>
  <c r="G236" i="10"/>
  <c r="J235" i="10"/>
  <c r="I234" i="10"/>
  <c r="H234" i="10"/>
  <c r="G234" i="10"/>
  <c r="J233" i="10"/>
  <c r="I232" i="10"/>
  <c r="I231" i="10" s="1"/>
  <c r="H232" i="10"/>
  <c r="G232" i="10"/>
  <c r="J230" i="10"/>
  <c r="I229" i="10"/>
  <c r="H229" i="10"/>
  <c r="G229" i="10"/>
  <c r="J228" i="10"/>
  <c r="I227" i="10"/>
  <c r="H227" i="10"/>
  <c r="G227" i="10"/>
  <c r="J226" i="10"/>
  <c r="I225" i="10"/>
  <c r="H225" i="10"/>
  <c r="G225" i="10"/>
  <c r="J223" i="10"/>
  <c r="I222" i="10"/>
  <c r="H222" i="10"/>
  <c r="G222" i="10"/>
  <c r="J221" i="10"/>
  <c r="J220" i="10"/>
  <c r="J219" i="10"/>
  <c r="I218" i="10"/>
  <c r="H218" i="10"/>
  <c r="G218" i="10"/>
  <c r="J217" i="10"/>
  <c r="I216" i="10"/>
  <c r="H216" i="10"/>
  <c r="G216" i="10"/>
  <c r="J215" i="10"/>
  <c r="I213" i="10"/>
  <c r="H213" i="10"/>
  <c r="G213" i="10"/>
  <c r="I209" i="10"/>
  <c r="I208" i="10" s="1"/>
  <c r="G209" i="10"/>
  <c r="G208" i="10" s="1"/>
  <c r="J207" i="10"/>
  <c r="J206" i="10"/>
  <c r="J205" i="10"/>
  <c r="I204" i="10"/>
  <c r="H204" i="10"/>
  <c r="G204" i="10"/>
  <c r="J203" i="10"/>
  <c r="J202" i="10"/>
  <c r="J201" i="10"/>
  <c r="J200" i="10"/>
  <c r="J199" i="10"/>
  <c r="J198" i="10"/>
  <c r="I197" i="10"/>
  <c r="H197" i="10"/>
  <c r="G197" i="10"/>
  <c r="J196" i="10"/>
  <c r="J195" i="10"/>
  <c r="J194" i="10"/>
  <c r="J193" i="10"/>
  <c r="I192" i="10"/>
  <c r="H192" i="10"/>
  <c r="G192" i="10"/>
  <c r="J190" i="10"/>
  <c r="J189" i="10"/>
  <c r="I188" i="10"/>
  <c r="G188" i="10"/>
  <c r="J187" i="10"/>
  <c r="I186" i="10"/>
  <c r="H186" i="10"/>
  <c r="G186" i="10"/>
  <c r="J185" i="10"/>
  <c r="I184" i="10"/>
  <c r="H184" i="10"/>
  <c r="G184" i="10"/>
  <c r="J183" i="10"/>
  <c r="I182" i="10"/>
  <c r="H182" i="10"/>
  <c r="G182" i="10"/>
  <c r="J181" i="10"/>
  <c r="I180" i="10"/>
  <c r="H180" i="10"/>
  <c r="G180" i="10"/>
  <c r="J178" i="10"/>
  <c r="I177" i="10"/>
  <c r="H177" i="10"/>
  <c r="G177" i="10"/>
  <c r="J176" i="10"/>
  <c r="J175" i="10"/>
  <c r="J174" i="10"/>
  <c r="J172" i="10"/>
  <c r="J171" i="10"/>
  <c r="J170" i="10"/>
  <c r="J169" i="10"/>
  <c r="J168" i="10"/>
  <c r="I167" i="10"/>
  <c r="G167" i="10"/>
  <c r="J166" i="10"/>
  <c r="J165" i="10"/>
  <c r="J164" i="10"/>
  <c r="J163" i="10"/>
  <c r="J162" i="10"/>
  <c r="J161" i="10"/>
  <c r="J160" i="10"/>
  <c r="J159" i="10"/>
  <c r="I158" i="10"/>
  <c r="H158" i="10"/>
  <c r="G158" i="10"/>
  <c r="J156" i="10"/>
  <c r="I155" i="10"/>
  <c r="H155" i="10"/>
  <c r="G155" i="10"/>
  <c r="J154" i="10"/>
  <c r="I153" i="10"/>
  <c r="H153" i="10"/>
  <c r="G153" i="10"/>
  <c r="J152" i="10"/>
  <c r="I151" i="10"/>
  <c r="H151" i="10"/>
  <c r="G151" i="10"/>
  <c r="J150" i="10"/>
  <c r="I149" i="10"/>
  <c r="H149" i="10"/>
  <c r="G149" i="10"/>
  <c r="J147" i="10"/>
  <c r="I146" i="10"/>
  <c r="H146" i="10"/>
  <c r="G146" i="10"/>
  <c r="J145" i="10"/>
  <c r="I144" i="10"/>
  <c r="H144" i="10"/>
  <c r="G144" i="10"/>
  <c r="J143" i="10"/>
  <c r="I142" i="10"/>
  <c r="H142" i="10"/>
  <c r="G142" i="10"/>
  <c r="J141" i="10"/>
  <c r="I140" i="10"/>
  <c r="G140" i="10"/>
  <c r="J139" i="10"/>
  <c r="I138" i="10"/>
  <c r="H138" i="10"/>
  <c r="G138" i="10"/>
  <c r="J137" i="10"/>
  <c r="J136" i="10"/>
  <c r="J135" i="10"/>
  <c r="J134" i="10"/>
  <c r="J133" i="10"/>
  <c r="I132" i="10"/>
  <c r="H132" i="10"/>
  <c r="G132" i="10"/>
  <c r="J131" i="10"/>
  <c r="I130" i="10"/>
  <c r="H130" i="10"/>
  <c r="G130" i="10"/>
  <c r="J129" i="10"/>
  <c r="I128" i="10"/>
  <c r="I127" i="10" s="1"/>
  <c r="H128" i="10"/>
  <c r="G128" i="10"/>
  <c r="G127" i="10" s="1"/>
  <c r="J126" i="10"/>
  <c r="I125" i="10"/>
  <c r="H125" i="10"/>
  <c r="G125" i="10"/>
  <c r="J124" i="10"/>
  <c r="I123" i="10"/>
  <c r="H123" i="10"/>
  <c r="G123" i="10"/>
  <c r="J122" i="10"/>
  <c r="I121" i="10"/>
  <c r="H121" i="10"/>
  <c r="G121" i="10"/>
  <c r="J120" i="10"/>
  <c r="I119" i="10"/>
  <c r="H119" i="10"/>
  <c r="G119" i="10"/>
  <c r="G118" i="10" s="1"/>
  <c r="J117" i="10"/>
  <c r="I116" i="10"/>
  <c r="H116" i="10"/>
  <c r="G116" i="10"/>
  <c r="J115" i="10"/>
  <c r="I114" i="10"/>
  <c r="I113" i="10" s="1"/>
  <c r="H114" i="10"/>
  <c r="G114" i="10"/>
  <c r="G113" i="10" s="1"/>
  <c r="J112" i="10"/>
  <c r="I111" i="10"/>
  <c r="H111" i="10"/>
  <c r="G111" i="10"/>
  <c r="J110" i="10"/>
  <c r="I109" i="10"/>
  <c r="I108" i="10" s="1"/>
  <c r="H109" i="10"/>
  <c r="G109" i="10"/>
  <c r="G108" i="10" s="1"/>
  <c r="I106" i="10"/>
  <c r="G106" i="10"/>
  <c r="J105" i="10"/>
  <c r="I104" i="10"/>
  <c r="H104" i="10"/>
  <c r="G104" i="10"/>
  <c r="J103" i="10"/>
  <c r="J102" i="10"/>
  <c r="I101" i="10"/>
  <c r="H101" i="10"/>
  <c r="G101" i="10"/>
  <c r="J100" i="10"/>
  <c r="I99" i="10"/>
  <c r="H99" i="10"/>
  <c r="G99" i="10"/>
  <c r="J98" i="10"/>
  <c r="I97" i="10"/>
  <c r="H97" i="10"/>
  <c r="G97" i="10"/>
  <c r="J96" i="10"/>
  <c r="I95" i="10"/>
  <c r="H95" i="10"/>
  <c r="G95" i="10"/>
  <c r="J94" i="10"/>
  <c r="I93" i="10"/>
  <c r="H93" i="10"/>
  <c r="G93" i="10"/>
  <c r="J92" i="10"/>
  <c r="I91" i="10"/>
  <c r="H91" i="10"/>
  <c r="G91" i="10"/>
  <c r="J88" i="10"/>
  <c r="I87" i="10"/>
  <c r="H87" i="10"/>
  <c r="I85" i="10"/>
  <c r="J84" i="10"/>
  <c r="I83" i="10"/>
  <c r="J82" i="10"/>
  <c r="I81" i="10"/>
  <c r="J79" i="10"/>
  <c r="J78" i="10"/>
  <c r="J77" i="10"/>
  <c r="I76" i="10"/>
  <c r="H76" i="10"/>
  <c r="G76" i="10"/>
  <c r="J75" i="10"/>
  <c r="I74" i="10"/>
  <c r="I73" i="10" s="1"/>
  <c r="H74" i="10"/>
  <c r="G74" i="10"/>
  <c r="J72" i="10"/>
  <c r="J71" i="10"/>
  <c r="I70" i="10"/>
  <c r="H70" i="10"/>
  <c r="G70" i="10"/>
  <c r="J69" i="10"/>
  <c r="J68" i="10"/>
  <c r="I67" i="10"/>
  <c r="H67" i="10"/>
  <c r="G67" i="10"/>
  <c r="J65" i="10"/>
  <c r="J64" i="10"/>
  <c r="J63" i="10"/>
  <c r="J62" i="10"/>
  <c r="J60" i="10"/>
  <c r="J59" i="10"/>
  <c r="J58" i="10"/>
  <c r="J57" i="10"/>
  <c r="I56" i="10"/>
  <c r="G56" i="10"/>
  <c r="J55" i="10"/>
  <c r="I54" i="10"/>
  <c r="H54" i="10"/>
  <c r="G54" i="10"/>
  <c r="J52" i="10"/>
  <c r="J51" i="10"/>
  <c r="J50" i="10"/>
  <c r="J49" i="10"/>
  <c r="I48" i="10"/>
  <c r="H48" i="10"/>
  <c r="G48" i="10"/>
  <c r="J47" i="10"/>
  <c r="I46" i="10"/>
  <c r="H46" i="10"/>
  <c r="G46" i="10"/>
  <c r="J45" i="10"/>
  <c r="I44" i="10"/>
  <c r="G44" i="10"/>
  <c r="J41" i="10"/>
  <c r="J40" i="10"/>
  <c r="J39" i="10"/>
  <c r="J38" i="10"/>
  <c r="J37" i="10"/>
  <c r="J34" i="10"/>
  <c r="J33" i="10"/>
  <c r="J32" i="10"/>
  <c r="J31" i="10"/>
  <c r="J30" i="10"/>
  <c r="I28" i="10"/>
  <c r="H28" i="10"/>
  <c r="G28" i="10"/>
  <c r="I285" i="10" l="1"/>
  <c r="I345" i="10"/>
  <c r="I354" i="10"/>
  <c r="I363" i="10"/>
  <c r="H403" i="10"/>
  <c r="I461" i="10"/>
  <c r="I470" i="10"/>
  <c r="G231" i="10"/>
  <c r="H224" i="10"/>
  <c r="J225" i="10"/>
  <c r="I118" i="10"/>
  <c r="H108" i="10"/>
  <c r="J108" i="10" s="1"/>
  <c r="H244" i="10"/>
  <c r="G334" i="10"/>
  <c r="J477" i="10"/>
  <c r="J481" i="10"/>
  <c r="J485" i="10"/>
  <c r="J490" i="10"/>
  <c r="I90" i="10"/>
  <c r="I334" i="10"/>
  <c r="I489" i="10"/>
  <c r="I494" i="10"/>
  <c r="J494" i="10" s="1"/>
  <c r="G461" i="10"/>
  <c r="G470" i="10"/>
  <c r="J479" i="10"/>
  <c r="J483" i="10"/>
  <c r="J487" i="10"/>
  <c r="J492" i="10"/>
  <c r="G73" i="10"/>
  <c r="I224" i="10"/>
  <c r="G302" i="10"/>
  <c r="H354" i="10"/>
  <c r="J354" i="10" s="1"/>
  <c r="H363" i="10"/>
  <c r="G398" i="10"/>
  <c r="G403" i="10"/>
  <c r="J403" i="10" s="1"/>
  <c r="H461" i="10"/>
  <c r="J229" i="10"/>
  <c r="I157" i="10"/>
  <c r="J252" i="10"/>
  <c r="I80" i="10"/>
  <c r="G494" i="10"/>
  <c r="J310" i="10"/>
  <c r="J425" i="10"/>
  <c r="J348" i="10"/>
  <c r="J383" i="10"/>
  <c r="J305" i="10"/>
  <c r="I66" i="10"/>
  <c r="G90" i="10"/>
  <c r="J218" i="10"/>
  <c r="G285" i="10"/>
  <c r="I445" i="10"/>
  <c r="H66" i="10"/>
  <c r="J350" i="10"/>
  <c r="J438" i="10"/>
  <c r="J352" i="10"/>
  <c r="J427" i="10"/>
  <c r="G66" i="10"/>
  <c r="J116" i="10"/>
  <c r="I380" i="10"/>
  <c r="I422" i="10"/>
  <c r="J423" i="10"/>
  <c r="J458" i="10"/>
  <c r="J256" i="10"/>
  <c r="H148" i="10"/>
  <c r="H398" i="10"/>
  <c r="G53" i="10"/>
  <c r="J250" i="10"/>
  <c r="G249" i="10"/>
  <c r="I260" i="10"/>
  <c r="J346" i="10"/>
  <c r="H345" i="10"/>
  <c r="J345" i="10" s="1"/>
  <c r="J114" i="10"/>
  <c r="H113" i="10"/>
  <c r="J113" i="10" s="1"/>
  <c r="J303" i="10"/>
  <c r="H302" i="10"/>
  <c r="J302" i="10" s="1"/>
  <c r="I460" i="10"/>
  <c r="J111" i="10"/>
  <c r="J130" i="10"/>
  <c r="J138" i="10"/>
  <c r="J144" i="10"/>
  <c r="J153" i="10"/>
  <c r="J275" i="10"/>
  <c r="J286" i="10"/>
  <c r="J337" i="10"/>
  <c r="J341" i="10"/>
  <c r="J406" i="10"/>
  <c r="J414" i="10"/>
  <c r="J418" i="10"/>
  <c r="H422" i="10"/>
  <c r="J434" i="10"/>
  <c r="G489" i="10"/>
  <c r="J489" i="10" s="1"/>
  <c r="J70" i="10"/>
  <c r="J74" i="10"/>
  <c r="J76" i="10"/>
  <c r="J81" i="10"/>
  <c r="J83" i="10"/>
  <c r="J85" i="10"/>
  <c r="J87" i="10"/>
  <c r="J91" i="10"/>
  <c r="J93" i="10"/>
  <c r="J97" i="10"/>
  <c r="J101" i="10"/>
  <c r="I148" i="10"/>
  <c r="J204" i="10"/>
  <c r="I212" i="10"/>
  <c r="J240" i="10"/>
  <c r="J242" i="10"/>
  <c r="I249" i="10"/>
  <c r="J320" i="10"/>
  <c r="J322" i="10"/>
  <c r="J364" i="10"/>
  <c r="J366" i="10"/>
  <c r="J368" i="10"/>
  <c r="J370" i="10"/>
  <c r="J372" i="10"/>
  <c r="J374" i="10"/>
  <c r="J376" i="10"/>
  <c r="J378" i="10"/>
  <c r="H380" i="10"/>
  <c r="J401" i="10"/>
  <c r="J446" i="10"/>
  <c r="J448" i="10"/>
  <c r="J450" i="10"/>
  <c r="J452" i="10"/>
  <c r="J454" i="10"/>
  <c r="J466" i="10"/>
  <c r="J468" i="10"/>
  <c r="J471" i="10"/>
  <c r="J473" i="10"/>
  <c r="J475" i="10"/>
  <c r="J461" i="10"/>
  <c r="I53" i="10"/>
  <c r="J67" i="10"/>
  <c r="J109" i="10"/>
  <c r="J128" i="10"/>
  <c r="J132" i="10"/>
  <c r="J140" i="10"/>
  <c r="J142" i="10"/>
  <c r="J146" i="10"/>
  <c r="J151" i="10"/>
  <c r="J335" i="10"/>
  <c r="J339" i="10"/>
  <c r="J343" i="10"/>
  <c r="J404" i="10"/>
  <c r="J408" i="10"/>
  <c r="J410" i="10"/>
  <c r="J412" i="10"/>
  <c r="J416" i="10"/>
  <c r="J420" i="10"/>
  <c r="J430" i="10"/>
  <c r="J432" i="10"/>
  <c r="J436" i="10"/>
  <c r="I27" i="10"/>
  <c r="J44" i="10"/>
  <c r="J46" i="10"/>
  <c r="J48" i="10"/>
  <c r="J54" i="10"/>
  <c r="H73" i="10"/>
  <c r="J73" i="10" s="1"/>
  <c r="J104" i="10"/>
  <c r="J119" i="10"/>
  <c r="J121" i="10"/>
  <c r="J123" i="10"/>
  <c r="J125" i="10"/>
  <c r="J177" i="10"/>
  <c r="J182" i="10"/>
  <c r="J192" i="10"/>
  <c r="J222" i="10"/>
  <c r="J247" i="10"/>
  <c r="J261" i="10"/>
  <c r="J283" i="10"/>
  <c r="J294" i="10"/>
  <c r="J314" i="10"/>
  <c r="J325" i="10"/>
  <c r="J327" i="10"/>
  <c r="J355" i="10"/>
  <c r="J357" i="10"/>
  <c r="J359" i="10"/>
  <c r="J361" i="10"/>
  <c r="J363" i="10"/>
  <c r="J388" i="10"/>
  <c r="J390" i="10"/>
  <c r="J392" i="10"/>
  <c r="J394" i="10"/>
  <c r="J396" i="10"/>
  <c r="J443" i="10"/>
  <c r="G445" i="10"/>
  <c r="J445" i="10" s="1"/>
  <c r="J462" i="10"/>
  <c r="J464" i="10"/>
  <c r="H470" i="10"/>
  <c r="J470" i="10" s="1"/>
  <c r="J495" i="10"/>
  <c r="J497" i="10"/>
  <c r="H212" i="10"/>
  <c r="J216" i="10"/>
  <c r="J197" i="10"/>
  <c r="H118" i="10"/>
  <c r="J118" i="10" s="1"/>
  <c r="J95" i="10"/>
  <c r="J158" i="10"/>
  <c r="H27" i="10"/>
  <c r="H231" i="10"/>
  <c r="J231" i="10" s="1"/>
  <c r="H334" i="10"/>
  <c r="J334" i="10" s="1"/>
  <c r="J99" i="10"/>
  <c r="J236" i="10"/>
  <c r="J234" i="10"/>
  <c r="J227" i="10"/>
  <c r="J398" i="10"/>
  <c r="J316" i="10"/>
  <c r="H285" i="10"/>
  <c r="J285" i="10" s="1"/>
  <c r="J254" i="10"/>
  <c r="J245" i="10"/>
  <c r="J238" i="10"/>
  <c r="J232" i="10"/>
  <c r="J213" i="10"/>
  <c r="J186" i="10"/>
  <c r="H127" i="10"/>
  <c r="J127" i="10" s="1"/>
  <c r="H80" i="10"/>
  <c r="J80" i="10" s="1"/>
  <c r="J259" i="10"/>
  <c r="H258" i="10"/>
  <c r="H249" i="10" s="1"/>
  <c r="J249" i="10" s="1"/>
  <c r="J267" i="10"/>
  <c r="G260" i="10"/>
  <c r="J274" i="10"/>
  <c r="H271" i="10"/>
  <c r="H260" i="10" s="1"/>
  <c r="J386" i="10"/>
  <c r="G380" i="10"/>
  <c r="J149" i="10"/>
  <c r="J180" i="10"/>
  <c r="J308" i="10"/>
  <c r="J381" i="10"/>
  <c r="J399" i="10"/>
  <c r="J61" i="10"/>
  <c r="H56" i="10"/>
  <c r="H53" i="10" s="1"/>
  <c r="J107" i="10"/>
  <c r="H106" i="10"/>
  <c r="H90" i="10" s="1"/>
  <c r="J155" i="10"/>
  <c r="G148" i="10"/>
  <c r="J173" i="10"/>
  <c r="H167" i="10"/>
  <c r="H157" i="10" s="1"/>
  <c r="J184" i="10"/>
  <c r="G179" i="10"/>
  <c r="J191" i="10"/>
  <c r="H188" i="10"/>
  <c r="H179" i="10" s="1"/>
  <c r="J210" i="10"/>
  <c r="H209" i="10"/>
  <c r="H208" i="10" s="1"/>
  <c r="J208" i="10" s="1"/>
  <c r="J312" i="10"/>
  <c r="G307" i="10"/>
  <c r="J319" i="10"/>
  <c r="H318" i="10"/>
  <c r="H307" i="10" s="1"/>
  <c r="J42" i="10"/>
  <c r="J35" i="10" s="1"/>
  <c r="G27" i="10"/>
  <c r="G157" i="10"/>
  <c r="I179" i="10"/>
  <c r="I89" i="10" s="1"/>
  <c r="G212" i="10"/>
  <c r="G224" i="10"/>
  <c r="J224" i="10" s="1"/>
  <c r="G244" i="10"/>
  <c r="I307" i="10"/>
  <c r="I211" i="10" s="1"/>
  <c r="J244" i="10" l="1"/>
  <c r="J53" i="10"/>
  <c r="I333" i="10"/>
  <c r="G26" i="10"/>
  <c r="I26" i="10"/>
  <c r="J66" i="10"/>
  <c r="J148" i="10"/>
  <c r="H333" i="10"/>
  <c r="J422" i="10"/>
  <c r="J188" i="10"/>
  <c r="J307" i="10"/>
  <c r="J157" i="10"/>
  <c r="J106" i="10"/>
  <c r="J318" i="10"/>
  <c r="H26" i="10"/>
  <c r="H460" i="10"/>
  <c r="J271" i="10"/>
  <c r="J258" i="10"/>
  <c r="G460" i="10"/>
  <c r="J167" i="10"/>
  <c r="J209" i="10"/>
  <c r="J212" i="10"/>
  <c r="G211" i="10"/>
  <c r="J179" i="10"/>
  <c r="H89" i="10"/>
  <c r="J56" i="10"/>
  <c r="J90" i="10"/>
  <c r="J380" i="10"/>
  <c r="G333" i="10"/>
  <c r="J260" i="10"/>
  <c r="H211" i="10"/>
  <c r="G89" i="10"/>
  <c r="G25" i="10" l="1"/>
  <c r="I25" i="10"/>
  <c r="J15" i="10" s="1"/>
  <c r="J333" i="10"/>
  <c r="H25" i="10"/>
  <c r="J460" i="10"/>
  <c r="J89" i="10"/>
  <c r="J211" i="10"/>
  <c r="N89" i="5" l="1"/>
  <c r="K211" i="10" l="1"/>
  <c r="K42" i="10"/>
  <c r="K43" i="10"/>
  <c r="K437" i="10"/>
  <c r="K435" i="10"/>
  <c r="K433" i="10"/>
  <c r="K431" i="10"/>
  <c r="K429" i="10"/>
  <c r="K428" i="10"/>
  <c r="K426" i="10"/>
  <c r="K424" i="10"/>
  <c r="K421" i="10"/>
  <c r="K476" i="10"/>
  <c r="K474" i="10"/>
  <c r="K472" i="10"/>
  <c r="K469" i="10"/>
  <c r="K465" i="10"/>
  <c r="K463" i="10"/>
  <c r="K296" i="10"/>
  <c r="K295" i="10"/>
  <c r="K293" i="10"/>
  <c r="K292" i="10"/>
  <c r="K291" i="10"/>
  <c r="K290" i="10"/>
  <c r="K289" i="10"/>
  <c r="K288" i="10"/>
  <c r="K287" i="10"/>
  <c r="K284" i="10"/>
  <c r="K282" i="10"/>
  <c r="K281" i="10"/>
  <c r="K280" i="10"/>
  <c r="K279" i="10"/>
  <c r="K278" i="10"/>
  <c r="K277" i="10"/>
  <c r="K276" i="10"/>
  <c r="K88" i="10"/>
  <c r="K86" i="10"/>
  <c r="K84" i="10"/>
  <c r="K82" i="10"/>
  <c r="K79" i="10"/>
  <c r="K78" i="10"/>
  <c r="K77" i="10"/>
  <c r="K75" i="10"/>
  <c r="K72" i="10"/>
  <c r="K71" i="10"/>
  <c r="K69" i="10"/>
  <c r="K68" i="10"/>
  <c r="K65" i="10"/>
  <c r="K64" i="10"/>
  <c r="K63" i="10"/>
  <c r="K62" i="10"/>
  <c r="K178" i="10"/>
  <c r="K150" i="10"/>
  <c r="K147" i="10"/>
  <c r="K141" i="10"/>
  <c r="K136" i="10"/>
  <c r="K134" i="10"/>
  <c r="K131" i="10"/>
  <c r="K129" i="10"/>
  <c r="K124" i="10"/>
  <c r="K117" i="10"/>
  <c r="K115" i="10"/>
  <c r="K419" i="10"/>
  <c r="K417" i="10"/>
  <c r="K415" i="10"/>
  <c r="K413" i="10"/>
  <c r="K411" i="10"/>
  <c r="K409" i="10"/>
  <c r="K407" i="10"/>
  <c r="K405" i="10"/>
  <c r="K402" i="10"/>
  <c r="K400" i="10"/>
  <c r="K384" i="10"/>
  <c r="K382" i="10"/>
  <c r="K379" i="10"/>
  <c r="K377" i="10"/>
  <c r="K375" i="10"/>
  <c r="K373" i="10"/>
  <c r="K371" i="10"/>
  <c r="K369" i="10"/>
  <c r="K367" i="10"/>
  <c r="K365" i="10"/>
  <c r="K362" i="10"/>
  <c r="K360" i="10"/>
  <c r="K358" i="10"/>
  <c r="K356" i="10"/>
  <c r="K353" i="10"/>
  <c r="K351" i="10"/>
  <c r="K349" i="10"/>
  <c r="K347" i="10"/>
  <c r="K344" i="10"/>
  <c r="K342" i="10"/>
  <c r="K340" i="10"/>
  <c r="K338" i="10"/>
  <c r="K336" i="10"/>
  <c r="K326" i="10"/>
  <c r="K324" i="10"/>
  <c r="K323" i="10"/>
  <c r="K321" i="10"/>
  <c r="K309" i="10"/>
  <c r="K306" i="10"/>
  <c r="K304" i="10"/>
  <c r="K301" i="10"/>
  <c r="K202" i="10"/>
  <c r="K201" i="10"/>
  <c r="K200" i="10"/>
  <c r="K199" i="10"/>
  <c r="K198" i="10"/>
  <c r="K196" i="10"/>
  <c r="K195" i="10"/>
  <c r="K194" i="10"/>
  <c r="K193" i="10"/>
  <c r="K181" i="10"/>
  <c r="K176" i="10"/>
  <c r="K175" i="10"/>
  <c r="K174" i="10"/>
  <c r="K152" i="10"/>
  <c r="K145" i="10"/>
  <c r="K143" i="10"/>
  <c r="K139" i="10"/>
  <c r="K137" i="10"/>
  <c r="K135" i="10"/>
  <c r="K133" i="10"/>
  <c r="K126" i="10"/>
  <c r="K122" i="10"/>
  <c r="K120" i="10"/>
  <c r="K112" i="10"/>
  <c r="K110" i="10"/>
  <c r="K398" i="10"/>
  <c r="K45" i="10"/>
  <c r="K51" i="10"/>
  <c r="K59" i="10"/>
  <c r="K161" i="10"/>
  <c r="K168" i="10"/>
  <c r="K185" i="10"/>
  <c r="K190" i="10"/>
  <c r="K205" i="10"/>
  <c r="K215" i="10"/>
  <c r="K219" i="10"/>
  <c r="K223" i="10"/>
  <c r="K235" i="10"/>
  <c r="K239" i="10"/>
  <c r="K243" i="10"/>
  <c r="K265" i="10"/>
  <c r="K298" i="10"/>
  <c r="K313" i="10"/>
  <c r="K317" i="10"/>
  <c r="K331" i="10"/>
  <c r="K442" i="10"/>
  <c r="K456" i="10"/>
  <c r="K478" i="10"/>
  <c r="K482" i="10"/>
  <c r="K486" i="10"/>
  <c r="K496" i="10"/>
  <c r="K29" i="10"/>
  <c r="K36" i="10"/>
  <c r="K40" i="10"/>
  <c r="K49" i="10"/>
  <c r="K57" i="10"/>
  <c r="K156" i="10"/>
  <c r="K163" i="10"/>
  <c r="K170" i="10"/>
  <c r="K30" i="10"/>
  <c r="K34" i="10"/>
  <c r="K39" i="10"/>
  <c r="K50" i="10"/>
  <c r="K55" i="10"/>
  <c r="K60" i="10"/>
  <c r="K94" i="10"/>
  <c r="K98" i="10"/>
  <c r="K102" i="10"/>
  <c r="K162" i="10"/>
  <c r="K166" i="10"/>
  <c r="K171" i="10"/>
  <c r="K206" i="10"/>
  <c r="K214" i="10"/>
  <c r="K228" i="10"/>
  <c r="K248" i="10"/>
  <c r="K253" i="10"/>
  <c r="K257" i="10"/>
  <c r="K264" i="10"/>
  <c r="K268" i="10"/>
  <c r="K273" i="10"/>
  <c r="K299" i="10"/>
  <c r="K330" i="10"/>
  <c r="K387" i="10"/>
  <c r="K391" i="10"/>
  <c r="K395" i="10"/>
  <c r="K439" i="10"/>
  <c r="K447" i="10"/>
  <c r="K451" i="10"/>
  <c r="K455" i="10"/>
  <c r="K459" i="10"/>
  <c r="K491" i="10"/>
  <c r="K327" i="10"/>
  <c r="K31" i="10"/>
  <c r="K47" i="10"/>
  <c r="K103" i="10"/>
  <c r="K154" i="10"/>
  <c r="K165" i="10"/>
  <c r="K172" i="10"/>
  <c r="K183" i="10"/>
  <c r="K187" i="10"/>
  <c r="K203" i="10"/>
  <c r="K207" i="10"/>
  <c r="K217" i="10"/>
  <c r="K221" i="10"/>
  <c r="K233" i="10"/>
  <c r="K237" i="10"/>
  <c r="K241" i="10"/>
  <c r="K263" i="10"/>
  <c r="K269" i="10"/>
  <c r="K272" i="10"/>
  <c r="K300" i="10"/>
  <c r="K311" i="10"/>
  <c r="K315" i="10"/>
  <c r="K329" i="10"/>
  <c r="K440" i="10"/>
  <c r="K444" i="10"/>
  <c r="K460" i="10"/>
  <c r="K480" i="10"/>
  <c r="K484" i="10"/>
  <c r="K488" i="10"/>
  <c r="K498" i="10"/>
  <c r="K33" i="10"/>
  <c r="K38" i="10"/>
  <c r="K105" i="10"/>
  <c r="K159" i="10"/>
  <c r="K32" i="10"/>
  <c r="K37" i="10"/>
  <c r="K41" i="10"/>
  <c r="K52" i="10"/>
  <c r="K58" i="10"/>
  <c r="K92" i="10"/>
  <c r="K96" i="10"/>
  <c r="K100" i="10"/>
  <c r="K160" i="10"/>
  <c r="K164" i="10"/>
  <c r="K169" i="10"/>
  <c r="K189" i="10"/>
  <c r="K220" i="10"/>
  <c r="K226" i="10"/>
  <c r="K230" i="10"/>
  <c r="K246" i="10"/>
  <c r="K251" i="10"/>
  <c r="K255" i="10"/>
  <c r="K262" i="10"/>
  <c r="K266" i="10"/>
  <c r="K270" i="10"/>
  <c r="K297" i="10"/>
  <c r="K328" i="10"/>
  <c r="K332" i="10"/>
  <c r="K389" i="10"/>
  <c r="K393" i="10"/>
  <c r="K397" i="10"/>
  <c r="K441" i="10"/>
  <c r="K449" i="10"/>
  <c r="K453" i="10"/>
  <c r="K457" i="10"/>
  <c r="K467" i="10"/>
  <c r="K493" i="10"/>
  <c r="K274" i="10"/>
  <c r="K210" i="10"/>
  <c r="K173" i="10"/>
  <c r="K61" i="10"/>
  <c r="K259" i="10"/>
  <c r="K319" i="10"/>
  <c r="K191" i="10"/>
  <c r="K107" i="10"/>
  <c r="K333" i="10"/>
  <c r="K89" i="10"/>
  <c r="K26" i="10"/>
  <c r="K25" i="10" l="1"/>
  <c r="J87" i="4"/>
  <c r="I87" i="4"/>
  <c r="H87" i="4"/>
  <c r="G87" i="4"/>
  <c r="E87" i="4"/>
  <c r="D87" i="4"/>
  <c r="C87" i="4"/>
  <c r="B87" i="4"/>
  <c r="H75" i="4"/>
  <c r="H74" i="4"/>
  <c r="H73" i="4"/>
  <c r="H71" i="4"/>
  <c r="H70" i="4"/>
  <c r="H68" i="4"/>
  <c r="H67" i="4"/>
  <c r="H66" i="4"/>
  <c r="H65" i="4"/>
  <c r="E56" i="4"/>
  <c r="E57" i="4"/>
  <c r="E58" i="4"/>
  <c r="E59" i="4"/>
  <c r="E60" i="4"/>
  <c r="E61" i="4"/>
  <c r="E62" i="4"/>
  <c r="E63" i="4"/>
  <c r="D56" i="4"/>
  <c r="D57" i="4"/>
  <c r="D58" i="4"/>
  <c r="D59" i="4"/>
  <c r="D60" i="4"/>
  <c r="D61" i="4"/>
  <c r="D62" i="4"/>
  <c r="D63" i="4"/>
  <c r="C56" i="4"/>
  <c r="C57" i="4"/>
  <c r="C58" i="4"/>
  <c r="C59" i="4"/>
  <c r="C60" i="4"/>
  <c r="C61" i="4"/>
  <c r="C62" i="4"/>
  <c r="C63" i="4"/>
  <c r="B56" i="4"/>
  <c r="B57" i="4"/>
  <c r="B58" i="4"/>
  <c r="B59" i="4"/>
  <c r="B60" i="4"/>
  <c r="B61" i="4"/>
  <c r="B62" i="4"/>
  <c r="B63" i="4"/>
  <c r="C55" i="4"/>
  <c r="D55" i="4"/>
  <c r="E55" i="4"/>
  <c r="J85" i="4"/>
  <c r="I85" i="4"/>
  <c r="G85" i="4"/>
  <c r="J84" i="4"/>
  <c r="I84" i="4"/>
  <c r="G84" i="4"/>
  <c r="J83" i="4"/>
  <c r="I83" i="4"/>
  <c r="G83" i="4"/>
  <c r="J82" i="4"/>
  <c r="I82" i="4"/>
  <c r="G82" i="4"/>
  <c r="J81" i="4"/>
  <c r="I81" i="4"/>
  <c r="G81" i="4"/>
  <c r="J80" i="4"/>
  <c r="I80" i="4"/>
  <c r="G80" i="4"/>
  <c r="J79" i="4"/>
  <c r="I79" i="4"/>
  <c r="G79" i="4"/>
  <c r="J78" i="4"/>
  <c r="I78" i="4"/>
  <c r="G78" i="4"/>
  <c r="J77" i="4"/>
  <c r="I77" i="4"/>
  <c r="G77" i="4"/>
  <c r="J75" i="4"/>
  <c r="I75" i="4"/>
  <c r="G75" i="4"/>
  <c r="J74" i="4"/>
  <c r="I74" i="4"/>
  <c r="G74" i="4"/>
  <c r="J73" i="4"/>
  <c r="I73" i="4"/>
  <c r="G73" i="4"/>
  <c r="J71" i="4"/>
  <c r="I71" i="4"/>
  <c r="G71" i="4"/>
  <c r="J70" i="4"/>
  <c r="I70" i="4"/>
  <c r="G70" i="4"/>
  <c r="J68" i="4"/>
  <c r="I68" i="4"/>
  <c r="G68" i="4"/>
  <c r="J67" i="4"/>
  <c r="I67" i="4"/>
  <c r="G67" i="4"/>
  <c r="J66" i="4"/>
  <c r="I66" i="4"/>
  <c r="G66" i="4"/>
  <c r="J65" i="4"/>
  <c r="I65" i="4"/>
  <c r="G65" i="4"/>
  <c r="J56" i="4"/>
  <c r="J57" i="4"/>
  <c r="J58" i="4"/>
  <c r="J59" i="4"/>
  <c r="J60" i="4"/>
  <c r="J61" i="4"/>
  <c r="J62" i="4"/>
  <c r="J63" i="4"/>
  <c r="I56" i="4"/>
  <c r="I57" i="4"/>
  <c r="I58" i="4"/>
  <c r="I59" i="4"/>
  <c r="I60" i="4"/>
  <c r="I61" i="4"/>
  <c r="I62" i="4"/>
  <c r="I63" i="4"/>
  <c r="G63" i="4"/>
  <c r="G56" i="4"/>
  <c r="G57" i="4"/>
  <c r="G58" i="4"/>
  <c r="G59" i="4"/>
  <c r="G60" i="4"/>
  <c r="G61" i="4"/>
  <c r="G62" i="4"/>
  <c r="J55" i="4"/>
  <c r="I55" i="4"/>
  <c r="G55" i="4"/>
  <c r="E78" i="4"/>
  <c r="E79" i="4"/>
  <c r="E80" i="4"/>
  <c r="E81" i="4"/>
  <c r="E82" i="4"/>
  <c r="E83" i="4"/>
  <c r="E84" i="4"/>
  <c r="E85" i="4"/>
  <c r="D78" i="4"/>
  <c r="D79" i="4"/>
  <c r="D80" i="4"/>
  <c r="D81" i="4"/>
  <c r="D82" i="4"/>
  <c r="D83" i="4"/>
  <c r="D84" i="4"/>
  <c r="D85" i="4"/>
  <c r="C78" i="4"/>
  <c r="C79" i="4"/>
  <c r="C80" i="4"/>
  <c r="C81" i="4"/>
  <c r="C82" i="4"/>
  <c r="C83" i="4"/>
  <c r="C84" i="4"/>
  <c r="C85" i="4"/>
  <c r="C77" i="4"/>
  <c r="D77" i="4"/>
  <c r="E77" i="4"/>
  <c r="E74" i="4"/>
  <c r="E75" i="4"/>
  <c r="D74" i="4"/>
  <c r="D75" i="4"/>
  <c r="C74" i="4"/>
  <c r="C75" i="4"/>
  <c r="C73" i="4"/>
  <c r="D73" i="4"/>
  <c r="E73" i="4"/>
  <c r="E71" i="4"/>
  <c r="D71" i="4"/>
  <c r="C71" i="4"/>
  <c r="C70" i="4"/>
  <c r="D70" i="4"/>
  <c r="E70" i="4"/>
  <c r="E66" i="4"/>
  <c r="E67" i="4"/>
  <c r="E68" i="4"/>
  <c r="D66" i="4"/>
  <c r="D67" i="4"/>
  <c r="D68" i="4"/>
  <c r="C66" i="4"/>
  <c r="C67" i="4"/>
  <c r="C68" i="4"/>
  <c r="C65" i="4"/>
  <c r="D65" i="4"/>
  <c r="E65" i="4"/>
  <c r="J53" i="4"/>
  <c r="I53" i="4"/>
  <c r="G53" i="4"/>
  <c r="J52" i="4"/>
  <c r="I52" i="4"/>
  <c r="G52" i="4"/>
  <c r="J51" i="4"/>
  <c r="I51" i="4"/>
  <c r="G51" i="4"/>
  <c r="J50" i="4"/>
  <c r="I50" i="4"/>
  <c r="G50" i="4"/>
  <c r="J49" i="4"/>
  <c r="I49" i="4"/>
  <c r="G49" i="4"/>
  <c r="J48" i="4"/>
  <c r="I48" i="4"/>
  <c r="G48" i="4"/>
  <c r="J47" i="4"/>
  <c r="I47" i="4"/>
  <c r="G47" i="4"/>
  <c r="E48" i="4"/>
  <c r="E49" i="4"/>
  <c r="E50" i="4"/>
  <c r="E51" i="4"/>
  <c r="E52" i="4"/>
  <c r="E53" i="4"/>
  <c r="D48" i="4"/>
  <c r="D49" i="4"/>
  <c r="D50" i="4"/>
  <c r="D51" i="4"/>
  <c r="D52" i="4"/>
  <c r="D53" i="4"/>
  <c r="C48" i="4"/>
  <c r="M48" i="4" s="1"/>
  <c r="C49" i="4"/>
  <c r="M49" i="4" s="1"/>
  <c r="C50" i="4"/>
  <c r="C51" i="4"/>
  <c r="C52" i="4"/>
  <c r="C53" i="4"/>
  <c r="C47" i="4"/>
  <c r="D47" i="4"/>
  <c r="E47" i="4"/>
  <c r="L87" i="4" l="1"/>
  <c r="O48" i="4"/>
  <c r="N50" i="4"/>
  <c r="N53" i="4"/>
  <c r="O51" i="4"/>
  <c r="H46" i="4"/>
  <c r="M51" i="4"/>
  <c r="O50" i="4"/>
  <c r="I46" i="4"/>
  <c r="N47" i="4"/>
  <c r="N49" i="4"/>
  <c r="M52" i="4"/>
  <c r="N51" i="4"/>
  <c r="M50" i="4"/>
  <c r="M47" i="4"/>
  <c r="M53" i="4"/>
  <c r="H38" i="4"/>
  <c r="O47" i="4"/>
  <c r="O49" i="4"/>
  <c r="N48" i="4"/>
  <c r="J46" i="4"/>
  <c r="O53" i="4"/>
  <c r="G46" i="4"/>
  <c r="N52" i="4"/>
  <c r="O52" i="4"/>
  <c r="C54" i="4"/>
  <c r="E54" i="4"/>
  <c r="D54" i="4"/>
  <c r="E46" i="4"/>
  <c r="D46" i="4"/>
  <c r="C46" i="4"/>
  <c r="B85" i="4"/>
  <c r="B84" i="4"/>
  <c r="B83" i="4"/>
  <c r="B82" i="4"/>
  <c r="B81" i="4"/>
  <c r="B80" i="4"/>
  <c r="B79" i="4"/>
  <c r="B78" i="4"/>
  <c r="B77" i="4"/>
  <c r="B75" i="4"/>
  <c r="B74" i="4"/>
  <c r="B73" i="4"/>
  <c r="B71" i="4"/>
  <c r="B70" i="4"/>
  <c r="B68" i="4"/>
  <c r="B67" i="4"/>
  <c r="B66" i="4"/>
  <c r="B65" i="4"/>
  <c r="B55" i="4"/>
  <c r="B53" i="4"/>
  <c r="L53" i="4" s="1"/>
  <c r="B52" i="4"/>
  <c r="L52" i="4" s="1"/>
  <c r="B51" i="4"/>
  <c r="L51" i="4" s="1"/>
  <c r="B50" i="4"/>
  <c r="L50" i="4" s="1"/>
  <c r="B49" i="4"/>
  <c r="L49" i="4" s="1"/>
  <c r="B48" i="4"/>
  <c r="L48" i="4" s="1"/>
  <c r="B47" i="4"/>
  <c r="J40" i="4"/>
  <c r="J41" i="4"/>
  <c r="J42" i="4"/>
  <c r="J43" i="4"/>
  <c r="J44" i="4"/>
  <c r="J45" i="4"/>
  <c r="I40" i="4"/>
  <c r="I41" i="4"/>
  <c r="I42" i="4"/>
  <c r="I43" i="4"/>
  <c r="I44" i="4"/>
  <c r="I45" i="4"/>
  <c r="G40" i="4"/>
  <c r="G41" i="4"/>
  <c r="G42" i="4"/>
  <c r="G43" i="4"/>
  <c r="G44" i="4"/>
  <c r="G45" i="4"/>
  <c r="E40" i="4"/>
  <c r="E41" i="4"/>
  <c r="E42" i="4"/>
  <c r="E43" i="4"/>
  <c r="E44" i="4"/>
  <c r="E45" i="4"/>
  <c r="D40" i="4"/>
  <c r="D41" i="4"/>
  <c r="D42" i="4"/>
  <c r="D43" i="4"/>
  <c r="D44" i="4"/>
  <c r="D45" i="4"/>
  <c r="C40" i="4"/>
  <c r="M40" i="4" s="1"/>
  <c r="C41" i="4"/>
  <c r="M41" i="4" s="1"/>
  <c r="C42" i="4"/>
  <c r="M42" i="4" s="1"/>
  <c r="C43" i="4"/>
  <c r="M43" i="4" s="1"/>
  <c r="C44" i="4"/>
  <c r="M44" i="4" s="1"/>
  <c r="C45" i="4"/>
  <c r="M45" i="4" s="1"/>
  <c r="B40" i="4"/>
  <c r="L40" i="4" s="1"/>
  <c r="B41" i="4"/>
  <c r="L41" i="4" s="1"/>
  <c r="B42" i="4"/>
  <c r="L42" i="4" s="1"/>
  <c r="B43" i="4"/>
  <c r="L43" i="4" s="1"/>
  <c r="B44" i="4"/>
  <c r="L44" i="4" s="1"/>
  <c r="B45" i="4"/>
  <c r="L45" i="4" s="1"/>
  <c r="N44" i="4" l="1"/>
  <c r="N40" i="4"/>
  <c r="O42" i="4"/>
  <c r="N46" i="4"/>
  <c r="O41" i="4"/>
  <c r="O45" i="4"/>
  <c r="N42" i="4"/>
  <c r="O44" i="4"/>
  <c r="O40" i="4"/>
  <c r="N45" i="4"/>
  <c r="N41" i="4"/>
  <c r="O43" i="4"/>
  <c r="M46" i="4"/>
  <c r="N43" i="4"/>
  <c r="O46" i="4"/>
  <c r="B46" i="4"/>
  <c r="L46" i="4" s="1"/>
  <c r="L47" i="4"/>
  <c r="J86" i="4"/>
  <c r="J39" i="4"/>
  <c r="J38" i="4" s="1"/>
  <c r="J37" i="4"/>
  <c r="J36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20" i="4"/>
  <c r="J19" i="4"/>
  <c r="J14" i="4"/>
  <c r="J15" i="4"/>
  <c r="J16" i="4"/>
  <c r="J17" i="4"/>
  <c r="J13" i="4"/>
  <c r="I86" i="4"/>
  <c r="I39" i="4"/>
  <c r="I38" i="4" s="1"/>
  <c r="I37" i="4"/>
  <c r="I36" i="4"/>
  <c r="I35" i="4"/>
  <c r="I34" i="4"/>
  <c r="I33" i="4"/>
  <c r="I32" i="4"/>
  <c r="I31" i="4"/>
  <c r="I30" i="4"/>
  <c r="I29" i="4"/>
  <c r="I27" i="4"/>
  <c r="I26" i="4"/>
  <c r="I25" i="4"/>
  <c r="I24" i="4"/>
  <c r="I23" i="4"/>
  <c r="I22" i="4"/>
  <c r="I21" i="4"/>
  <c r="I20" i="4"/>
  <c r="I19" i="4"/>
  <c r="I14" i="4"/>
  <c r="I15" i="4"/>
  <c r="I16" i="4"/>
  <c r="I17" i="4"/>
  <c r="I13" i="4"/>
  <c r="H86" i="4"/>
  <c r="H14" i="4"/>
  <c r="H15" i="4"/>
  <c r="H16" i="4"/>
  <c r="H17" i="4"/>
  <c r="H13" i="4"/>
  <c r="L85" i="4"/>
  <c r="L84" i="4"/>
  <c r="L83" i="4"/>
  <c r="L82" i="4"/>
  <c r="L80" i="4"/>
  <c r="L79" i="4"/>
  <c r="L78" i="4"/>
  <c r="L77" i="4"/>
  <c r="L63" i="4"/>
  <c r="L57" i="4"/>
  <c r="L56" i="4"/>
  <c r="G39" i="4"/>
  <c r="G38" i="4" s="1"/>
  <c r="G37" i="4"/>
  <c r="G36" i="4"/>
  <c r="G35" i="4"/>
  <c r="G34" i="4"/>
  <c r="G33" i="4"/>
  <c r="G32" i="4"/>
  <c r="G31" i="4"/>
  <c r="G30" i="4"/>
  <c r="G29" i="4"/>
  <c r="G27" i="4"/>
  <c r="G26" i="4"/>
  <c r="G24" i="4"/>
  <c r="G23" i="4"/>
  <c r="G22" i="4"/>
  <c r="G21" i="4"/>
  <c r="G20" i="4"/>
  <c r="G19" i="4"/>
  <c r="G14" i="4"/>
  <c r="G15" i="4"/>
  <c r="G16" i="4"/>
  <c r="G17" i="4"/>
  <c r="G13" i="4"/>
  <c r="C14" i="4"/>
  <c r="O82" i="4"/>
  <c r="O81" i="4"/>
  <c r="O75" i="4"/>
  <c r="O74" i="4"/>
  <c r="O67" i="4"/>
  <c r="O66" i="4"/>
  <c r="O59" i="4"/>
  <c r="E39" i="4"/>
  <c r="E38" i="4" s="1"/>
  <c r="E37" i="4"/>
  <c r="E36" i="4"/>
  <c r="E35" i="4"/>
  <c r="E34" i="4"/>
  <c r="E33" i="4"/>
  <c r="E32" i="4"/>
  <c r="E31" i="4"/>
  <c r="E30" i="4"/>
  <c r="E29" i="4"/>
  <c r="E27" i="4"/>
  <c r="E26" i="4"/>
  <c r="E25" i="4"/>
  <c r="E24" i="4"/>
  <c r="E23" i="4"/>
  <c r="E22" i="4"/>
  <c r="E21" i="4"/>
  <c r="E20" i="4"/>
  <c r="E19" i="4"/>
  <c r="E14" i="4"/>
  <c r="E15" i="4"/>
  <c r="E16" i="4"/>
  <c r="E17" i="4"/>
  <c r="E13" i="4"/>
  <c r="N87" i="4"/>
  <c r="N85" i="4"/>
  <c r="N80" i="4"/>
  <c r="N79" i="4"/>
  <c r="N71" i="4"/>
  <c r="N63" i="4"/>
  <c r="N57" i="4"/>
  <c r="D39" i="4"/>
  <c r="D37" i="4"/>
  <c r="D36" i="4"/>
  <c r="D35" i="4"/>
  <c r="D34" i="4"/>
  <c r="D33" i="4"/>
  <c r="D32" i="4"/>
  <c r="D31" i="4"/>
  <c r="D30" i="4"/>
  <c r="D29" i="4"/>
  <c r="D27" i="4"/>
  <c r="D26" i="4"/>
  <c r="D25" i="4"/>
  <c r="D24" i="4"/>
  <c r="D23" i="4"/>
  <c r="D22" i="4"/>
  <c r="D21" i="4"/>
  <c r="D20" i="4"/>
  <c r="D19" i="4"/>
  <c r="D14" i="4"/>
  <c r="D15" i="4"/>
  <c r="D16" i="4"/>
  <c r="D17" i="4"/>
  <c r="D13" i="4"/>
  <c r="M85" i="4"/>
  <c r="M84" i="4"/>
  <c r="M79" i="4"/>
  <c r="M77" i="4"/>
  <c r="M75" i="4"/>
  <c r="M74" i="4"/>
  <c r="M71" i="4"/>
  <c r="M66" i="4"/>
  <c r="M65" i="4"/>
  <c r="M63" i="4"/>
  <c r="M62" i="4"/>
  <c r="M61" i="4"/>
  <c r="M59" i="4"/>
  <c r="M58" i="4"/>
  <c r="M57" i="4"/>
  <c r="M56" i="4"/>
  <c r="C39" i="4"/>
  <c r="C38" i="4" s="1"/>
  <c r="C37" i="4"/>
  <c r="M37" i="4" s="1"/>
  <c r="C36" i="4"/>
  <c r="M36" i="4" s="1"/>
  <c r="C35" i="4"/>
  <c r="M35" i="4" s="1"/>
  <c r="C34" i="4"/>
  <c r="M34" i="4" s="1"/>
  <c r="C33" i="4"/>
  <c r="M33" i="4" s="1"/>
  <c r="C32" i="4"/>
  <c r="M32" i="4" s="1"/>
  <c r="C31" i="4"/>
  <c r="M31" i="4" s="1"/>
  <c r="C30" i="4"/>
  <c r="M30" i="4" s="1"/>
  <c r="C29" i="4"/>
  <c r="C27" i="4"/>
  <c r="M27" i="4" s="1"/>
  <c r="C26" i="4"/>
  <c r="M26" i="4" s="1"/>
  <c r="C25" i="4"/>
  <c r="M25" i="4" s="1"/>
  <c r="C24" i="4"/>
  <c r="M24" i="4" s="1"/>
  <c r="C23" i="4"/>
  <c r="M23" i="4" s="1"/>
  <c r="C22" i="4"/>
  <c r="M22" i="4" s="1"/>
  <c r="C21" i="4"/>
  <c r="M21" i="4" s="1"/>
  <c r="C20" i="4"/>
  <c r="M20" i="4" s="1"/>
  <c r="C19" i="4"/>
  <c r="M19" i="4" s="1"/>
  <c r="C15" i="4"/>
  <c r="C16" i="4"/>
  <c r="C17" i="4"/>
  <c r="C13" i="4"/>
  <c r="L81" i="4"/>
  <c r="B72" i="4"/>
  <c r="L71" i="4"/>
  <c r="L61" i="4"/>
  <c r="L58" i="4"/>
  <c r="B39" i="4"/>
  <c r="B38" i="4" s="1"/>
  <c r="B37" i="4"/>
  <c r="B36" i="4"/>
  <c r="B35" i="4"/>
  <c r="B34" i="4"/>
  <c r="B33" i="4"/>
  <c r="B32" i="4"/>
  <c r="B31" i="4"/>
  <c r="B30" i="4"/>
  <c r="B29" i="4"/>
  <c r="B27" i="4"/>
  <c r="B26" i="4"/>
  <c r="B25" i="4"/>
  <c r="B24" i="4"/>
  <c r="B23" i="4"/>
  <c r="B22" i="4"/>
  <c r="B21" i="4"/>
  <c r="B20" i="4"/>
  <c r="B19" i="4"/>
  <c r="B14" i="4"/>
  <c r="B15" i="4"/>
  <c r="B16" i="4"/>
  <c r="B17" i="4"/>
  <c r="B13" i="4"/>
  <c r="G86" i="4"/>
  <c r="C86" i="4"/>
  <c r="B86" i="4"/>
  <c r="H72" i="4"/>
  <c r="H69" i="4"/>
  <c r="H64" i="4"/>
  <c r="H54" i="4"/>
  <c r="H28" i="4"/>
  <c r="D69" i="4"/>
  <c r="B57" i="6"/>
  <c r="B72" i="6"/>
  <c r="B71" i="6"/>
  <c r="B70" i="6"/>
  <c r="B68" i="6"/>
  <c r="B67" i="6"/>
  <c r="B65" i="6"/>
  <c r="B64" i="6"/>
  <c r="B63" i="6"/>
  <c r="B62" i="6"/>
  <c r="B60" i="6"/>
  <c r="B59" i="6"/>
  <c r="B58" i="6"/>
  <c r="B56" i="6"/>
  <c r="B55" i="6"/>
  <c r="B54" i="6"/>
  <c r="B53" i="6"/>
  <c r="B52" i="6"/>
  <c r="B50" i="6"/>
  <c r="B49" i="6"/>
  <c r="B48" i="6"/>
  <c r="B47" i="6"/>
  <c r="B46" i="6"/>
  <c r="B45" i="6"/>
  <c r="B44" i="6"/>
  <c r="B42" i="6"/>
  <c r="B41" i="6"/>
  <c r="B40" i="6"/>
  <c r="B39" i="6"/>
  <c r="B38" i="6"/>
  <c r="B37" i="6"/>
  <c r="B36" i="6"/>
  <c r="B34" i="6"/>
  <c r="B33" i="6"/>
  <c r="B32" i="6"/>
  <c r="B31" i="6"/>
  <c r="B30" i="6"/>
  <c r="B29" i="6"/>
  <c r="B28" i="6"/>
  <c r="B27" i="6"/>
  <c r="B26" i="6"/>
  <c r="B24" i="6"/>
  <c r="B23" i="6"/>
  <c r="B22" i="6"/>
  <c r="B21" i="6"/>
  <c r="B20" i="6"/>
  <c r="B19" i="6"/>
  <c r="B18" i="6"/>
  <c r="B17" i="6"/>
  <c r="B16" i="6"/>
  <c r="B14" i="6"/>
  <c r="B13" i="6"/>
  <c r="B12" i="6"/>
  <c r="B11" i="6"/>
  <c r="B10" i="6"/>
  <c r="B72" i="5"/>
  <c r="B71" i="5"/>
  <c r="B70" i="5"/>
  <c r="B68" i="5"/>
  <c r="B67" i="5"/>
  <c r="B65" i="5"/>
  <c r="B64" i="5"/>
  <c r="B63" i="5"/>
  <c r="B62" i="5"/>
  <c r="B60" i="5"/>
  <c r="B59" i="5"/>
  <c r="B58" i="5"/>
  <c r="B57" i="5"/>
  <c r="B56" i="5"/>
  <c r="B55" i="5"/>
  <c r="B54" i="5"/>
  <c r="B53" i="5"/>
  <c r="B52" i="5"/>
  <c r="B50" i="5"/>
  <c r="B49" i="5"/>
  <c r="B48" i="5"/>
  <c r="B47" i="5"/>
  <c r="B46" i="5"/>
  <c r="B45" i="5"/>
  <c r="B44" i="5"/>
  <c r="B42" i="5"/>
  <c r="B41" i="5"/>
  <c r="B40" i="5"/>
  <c r="B39" i="5"/>
  <c r="B38" i="5"/>
  <c r="B37" i="5"/>
  <c r="B36" i="5"/>
  <c r="B34" i="5"/>
  <c r="B33" i="5"/>
  <c r="B32" i="5"/>
  <c r="B31" i="5"/>
  <c r="B30" i="5"/>
  <c r="B29" i="5"/>
  <c r="B28" i="5"/>
  <c r="B27" i="5"/>
  <c r="B26" i="5"/>
  <c r="B17" i="5"/>
  <c r="B24" i="5"/>
  <c r="B23" i="5"/>
  <c r="B22" i="5"/>
  <c r="B21" i="5"/>
  <c r="B20" i="5"/>
  <c r="B19" i="5"/>
  <c r="B18" i="5"/>
  <c r="B16" i="5"/>
  <c r="B11" i="5"/>
  <c r="B12" i="5"/>
  <c r="B13" i="5"/>
  <c r="B14" i="5"/>
  <c r="B10" i="5"/>
  <c r="C69" i="6"/>
  <c r="N69" i="6"/>
  <c r="M69" i="6"/>
  <c r="L69" i="6"/>
  <c r="K69" i="6"/>
  <c r="J69" i="6"/>
  <c r="I69" i="6"/>
  <c r="H69" i="6"/>
  <c r="G69" i="6"/>
  <c r="F69" i="6"/>
  <c r="E69" i="6"/>
  <c r="D69" i="6"/>
  <c r="N66" i="6"/>
  <c r="M66" i="6"/>
  <c r="L66" i="6"/>
  <c r="K66" i="6"/>
  <c r="J66" i="6"/>
  <c r="I66" i="6"/>
  <c r="H66" i="6"/>
  <c r="G66" i="6"/>
  <c r="F66" i="6"/>
  <c r="E66" i="6"/>
  <c r="D66" i="6"/>
  <c r="C66" i="6"/>
  <c r="N61" i="6"/>
  <c r="M61" i="6"/>
  <c r="L61" i="6"/>
  <c r="K61" i="6"/>
  <c r="J61" i="6"/>
  <c r="I61" i="6"/>
  <c r="H61" i="6"/>
  <c r="G61" i="6"/>
  <c r="F61" i="6"/>
  <c r="E61" i="6"/>
  <c r="D61" i="6"/>
  <c r="C61" i="6"/>
  <c r="N51" i="6"/>
  <c r="M51" i="6"/>
  <c r="L51" i="6"/>
  <c r="K51" i="6"/>
  <c r="J51" i="6"/>
  <c r="I51" i="6"/>
  <c r="H51" i="6"/>
  <c r="G51" i="6"/>
  <c r="F51" i="6"/>
  <c r="E51" i="6"/>
  <c r="D51" i="6"/>
  <c r="C51" i="6"/>
  <c r="N43" i="6"/>
  <c r="M43" i="6"/>
  <c r="L43" i="6"/>
  <c r="K43" i="6"/>
  <c r="J43" i="6"/>
  <c r="I43" i="6"/>
  <c r="H43" i="6"/>
  <c r="G43" i="6"/>
  <c r="F43" i="6"/>
  <c r="E43" i="6"/>
  <c r="D43" i="6"/>
  <c r="C43" i="6"/>
  <c r="N35" i="6"/>
  <c r="M35" i="6"/>
  <c r="L35" i="6"/>
  <c r="K35" i="6"/>
  <c r="J35" i="6"/>
  <c r="I35" i="6"/>
  <c r="H35" i="6"/>
  <c r="G35" i="6"/>
  <c r="F35" i="6"/>
  <c r="E35" i="6"/>
  <c r="D35" i="6"/>
  <c r="C35" i="6"/>
  <c r="N25" i="6"/>
  <c r="M25" i="6"/>
  <c r="L25" i="6"/>
  <c r="K25" i="6"/>
  <c r="J25" i="6"/>
  <c r="I25" i="6"/>
  <c r="H25" i="6"/>
  <c r="G25" i="6"/>
  <c r="F25" i="6"/>
  <c r="E25" i="6"/>
  <c r="D25" i="6"/>
  <c r="C25" i="6"/>
  <c r="N15" i="6"/>
  <c r="M15" i="6"/>
  <c r="L15" i="6"/>
  <c r="K15" i="6"/>
  <c r="J15" i="6"/>
  <c r="I15" i="6"/>
  <c r="H15" i="6"/>
  <c r="G15" i="6"/>
  <c r="F15" i="6"/>
  <c r="E15" i="6"/>
  <c r="D15" i="6"/>
  <c r="C15" i="6"/>
  <c r="N9" i="6"/>
  <c r="M9" i="6"/>
  <c r="L9" i="6"/>
  <c r="K9" i="6"/>
  <c r="J9" i="6"/>
  <c r="I9" i="6"/>
  <c r="H9" i="6"/>
  <c r="G9" i="6"/>
  <c r="F9" i="6"/>
  <c r="E9" i="6"/>
  <c r="D9" i="6"/>
  <c r="C9" i="6"/>
  <c r="D69" i="5"/>
  <c r="E69" i="5"/>
  <c r="F69" i="5"/>
  <c r="G69" i="5"/>
  <c r="H69" i="5"/>
  <c r="I69" i="5"/>
  <c r="J69" i="5"/>
  <c r="K69" i="5"/>
  <c r="L69" i="5"/>
  <c r="M69" i="5"/>
  <c r="N69" i="5"/>
  <c r="C69" i="5"/>
  <c r="D66" i="5"/>
  <c r="E66" i="5"/>
  <c r="F66" i="5"/>
  <c r="M83" i="4" s="1"/>
  <c r="G66" i="5"/>
  <c r="H66" i="5"/>
  <c r="I66" i="5"/>
  <c r="J66" i="5"/>
  <c r="K66" i="5"/>
  <c r="L66" i="5"/>
  <c r="M66" i="5"/>
  <c r="N66" i="5"/>
  <c r="C66" i="5"/>
  <c r="D61" i="5"/>
  <c r="E61" i="5"/>
  <c r="F61" i="5"/>
  <c r="M78" i="4" s="1"/>
  <c r="G61" i="5"/>
  <c r="H61" i="5"/>
  <c r="I61" i="5"/>
  <c r="J61" i="5"/>
  <c r="K61" i="5"/>
  <c r="L61" i="5"/>
  <c r="M61" i="5"/>
  <c r="N61" i="5"/>
  <c r="C61" i="5"/>
  <c r="C51" i="5"/>
  <c r="D51" i="5"/>
  <c r="E51" i="5"/>
  <c r="F51" i="5"/>
  <c r="M68" i="4" s="1"/>
  <c r="G51" i="5"/>
  <c r="H51" i="5"/>
  <c r="I51" i="5"/>
  <c r="J51" i="5"/>
  <c r="K51" i="5"/>
  <c r="L51" i="5"/>
  <c r="M51" i="5"/>
  <c r="N51" i="5"/>
  <c r="C43" i="5"/>
  <c r="N43" i="5"/>
  <c r="M43" i="5"/>
  <c r="L43" i="5"/>
  <c r="O60" i="4" s="1"/>
  <c r="K43" i="5"/>
  <c r="J43" i="5"/>
  <c r="H43" i="5"/>
  <c r="F43" i="5"/>
  <c r="E43" i="5"/>
  <c r="D43" i="5"/>
  <c r="D35" i="5"/>
  <c r="E35" i="5"/>
  <c r="F35" i="5"/>
  <c r="G35" i="5"/>
  <c r="H35" i="5"/>
  <c r="I35" i="5"/>
  <c r="J35" i="5"/>
  <c r="K35" i="5"/>
  <c r="L35" i="5"/>
  <c r="M35" i="5"/>
  <c r="N35" i="5"/>
  <c r="C35" i="5"/>
  <c r="N25" i="5"/>
  <c r="D25" i="5"/>
  <c r="E25" i="5"/>
  <c r="F25" i="5"/>
  <c r="G25" i="5"/>
  <c r="H25" i="5"/>
  <c r="I25" i="5"/>
  <c r="J25" i="5"/>
  <c r="K25" i="5"/>
  <c r="L25" i="5"/>
  <c r="M25" i="5"/>
  <c r="C25" i="5"/>
  <c r="C15" i="5"/>
  <c r="E89" i="6" s="1"/>
  <c r="D15" i="5"/>
  <c r="E15" i="5"/>
  <c r="F15" i="5"/>
  <c r="G15" i="5"/>
  <c r="H15" i="5"/>
  <c r="I15" i="5"/>
  <c r="J15" i="5"/>
  <c r="K15" i="5"/>
  <c r="L15" i="5"/>
  <c r="M15" i="5"/>
  <c r="N15" i="5"/>
  <c r="C9" i="5"/>
  <c r="D9" i="5"/>
  <c r="E9" i="5"/>
  <c r="F9" i="5"/>
  <c r="G9" i="5"/>
  <c r="H9" i="5"/>
  <c r="I9" i="5"/>
  <c r="J9" i="5"/>
  <c r="K9" i="5"/>
  <c r="L9" i="5"/>
  <c r="M9" i="5"/>
  <c r="N9" i="5"/>
  <c r="L73" i="5" l="1"/>
  <c r="L90" i="5" s="1"/>
  <c r="L91" i="5" s="1"/>
  <c r="N14" i="4"/>
  <c r="O25" i="4"/>
  <c r="N13" i="4"/>
  <c r="M13" i="4"/>
  <c r="O37" i="4"/>
  <c r="O32" i="4"/>
  <c r="O24" i="4"/>
  <c r="O19" i="4"/>
  <c r="L26" i="4"/>
  <c r="I73" i="5"/>
  <c r="I90" i="5" s="1"/>
  <c r="I91" i="5" s="1"/>
  <c r="L33" i="4"/>
  <c r="O14" i="4"/>
  <c r="O31" i="4"/>
  <c r="B51" i="6"/>
  <c r="B69" i="6"/>
  <c r="B66" i="6"/>
  <c r="B61" i="6"/>
  <c r="J73" i="6"/>
  <c r="B43" i="6"/>
  <c r="B35" i="6"/>
  <c r="B25" i="6"/>
  <c r="L30" i="4"/>
  <c r="L36" i="4"/>
  <c r="L23" i="4"/>
  <c r="N22" i="4"/>
  <c r="I18" i="4"/>
  <c r="B15" i="6"/>
  <c r="N23" i="4"/>
  <c r="J18" i="4"/>
  <c r="N15" i="4"/>
  <c r="E73" i="6"/>
  <c r="H73" i="6"/>
  <c r="N73" i="6"/>
  <c r="F73" i="6"/>
  <c r="N29" i="4"/>
  <c r="N35" i="4"/>
  <c r="N30" i="4"/>
  <c r="N36" i="4"/>
  <c r="L24" i="4"/>
  <c r="K73" i="6"/>
  <c r="M73" i="6"/>
  <c r="B9" i="6"/>
  <c r="I73" i="6"/>
  <c r="N16" i="4"/>
  <c r="L15" i="4"/>
  <c r="L13" i="4"/>
  <c r="B43" i="5"/>
  <c r="B69" i="5"/>
  <c r="B66" i="5"/>
  <c r="B51" i="5"/>
  <c r="H73" i="5"/>
  <c r="H90" i="5" s="1"/>
  <c r="H91" i="5" s="1"/>
  <c r="M60" i="4"/>
  <c r="B35" i="5"/>
  <c r="M73" i="5"/>
  <c r="M90" i="5" s="1"/>
  <c r="M91" i="5" s="1"/>
  <c r="G73" i="5"/>
  <c r="G90" i="5" s="1"/>
  <c r="G91" i="5" s="1"/>
  <c r="D38" i="4"/>
  <c r="N38" i="4" s="1"/>
  <c r="J73" i="5"/>
  <c r="J90" i="5" s="1"/>
  <c r="J91" i="5" s="1"/>
  <c r="N73" i="5"/>
  <c r="N90" i="5" s="1"/>
  <c r="N91" i="5" s="1"/>
  <c r="K73" i="5"/>
  <c r="K90" i="5" s="1"/>
  <c r="K91" i="5" s="1"/>
  <c r="E73" i="5"/>
  <c r="E90" i="5" s="1"/>
  <c r="E91" i="5" s="1"/>
  <c r="D18" i="4"/>
  <c r="F73" i="5"/>
  <c r="F90" i="5" s="1"/>
  <c r="F91" i="5" s="1"/>
  <c r="D73" i="5"/>
  <c r="D90" i="5" s="1"/>
  <c r="D91" i="5" s="1"/>
  <c r="B15" i="5"/>
  <c r="L68" i="4"/>
  <c r="L38" i="4"/>
  <c r="G69" i="4"/>
  <c r="J28" i="4"/>
  <c r="M86" i="4"/>
  <c r="E69" i="4"/>
  <c r="I69" i="4"/>
  <c r="N69" i="4" s="1"/>
  <c r="M38" i="4"/>
  <c r="M82" i="4"/>
  <c r="N17" i="4"/>
  <c r="N21" i="4"/>
  <c r="N27" i="4"/>
  <c r="N34" i="4"/>
  <c r="N56" i="4"/>
  <c r="N62" i="4"/>
  <c r="N70" i="4"/>
  <c r="N78" i="4"/>
  <c r="N84" i="4"/>
  <c r="O23" i="4"/>
  <c r="O30" i="4"/>
  <c r="O36" i="4"/>
  <c r="O58" i="4"/>
  <c r="O65" i="4"/>
  <c r="O80" i="4"/>
  <c r="O87" i="4"/>
  <c r="L17" i="4"/>
  <c r="L21" i="4"/>
  <c r="L27" i="4"/>
  <c r="L34" i="4"/>
  <c r="M14" i="4"/>
  <c r="L86" i="4"/>
  <c r="L16" i="4"/>
  <c r="L22" i="4"/>
  <c r="L35" i="4"/>
  <c r="M16" i="4"/>
  <c r="E86" i="4"/>
  <c r="O86" i="4" s="1"/>
  <c r="L65" i="4"/>
  <c r="M80" i="4"/>
  <c r="M87" i="4"/>
  <c r="M81" i="4"/>
  <c r="C64" i="4"/>
  <c r="M64" i="4" s="1"/>
  <c r="J64" i="4"/>
  <c r="M54" i="4"/>
  <c r="G18" i="4"/>
  <c r="G54" i="4"/>
  <c r="G64" i="4"/>
  <c r="L75" i="4"/>
  <c r="M17" i="4"/>
  <c r="I12" i="4"/>
  <c r="I28" i="4"/>
  <c r="I72" i="4"/>
  <c r="J54" i="4"/>
  <c r="L62" i="4"/>
  <c r="J69" i="4"/>
  <c r="C69" i="4"/>
  <c r="M69" i="4" s="1"/>
  <c r="M70" i="4"/>
  <c r="N58" i="4"/>
  <c r="D72" i="4"/>
  <c r="N73" i="4"/>
  <c r="O38" i="4"/>
  <c r="O39" i="4"/>
  <c r="B28" i="4"/>
  <c r="C28" i="4"/>
  <c r="M28" i="4" s="1"/>
  <c r="N31" i="4"/>
  <c r="N59" i="4"/>
  <c r="N74" i="4"/>
  <c r="O13" i="4"/>
  <c r="O26" i="4"/>
  <c r="O55" i="4"/>
  <c r="O68" i="4"/>
  <c r="O77" i="4"/>
  <c r="I54" i="4"/>
  <c r="M55" i="4"/>
  <c r="L66" i="4"/>
  <c r="C72" i="4"/>
  <c r="N19" i="4"/>
  <c r="N25" i="4"/>
  <c r="N32" i="4"/>
  <c r="N39" i="4"/>
  <c r="N60" i="4"/>
  <c r="N67" i="4"/>
  <c r="N75" i="4"/>
  <c r="N82" i="4"/>
  <c r="O17" i="4"/>
  <c r="O21" i="4"/>
  <c r="O27" i="4"/>
  <c r="O34" i="4"/>
  <c r="O56" i="4"/>
  <c r="O62" i="4"/>
  <c r="O70" i="4"/>
  <c r="O78" i="4"/>
  <c r="O84" i="4"/>
  <c r="G28" i="4"/>
  <c r="J72" i="4"/>
  <c r="M73" i="4"/>
  <c r="E28" i="4"/>
  <c r="D64" i="4"/>
  <c r="N65" i="4"/>
  <c r="M39" i="4"/>
  <c r="M67" i="4"/>
  <c r="D28" i="4"/>
  <c r="D86" i="4"/>
  <c r="N86" i="4" s="1"/>
  <c r="L74" i="4"/>
  <c r="N24" i="4"/>
  <c r="N37" i="4"/>
  <c r="N66" i="4"/>
  <c r="N81" i="4"/>
  <c r="O20" i="4"/>
  <c r="O33" i="4"/>
  <c r="O61" i="4"/>
  <c r="O83" i="4"/>
  <c r="L14" i="4"/>
  <c r="L31" i="4"/>
  <c r="L37" i="4"/>
  <c r="L59" i="4"/>
  <c r="L67" i="4"/>
  <c r="C12" i="4"/>
  <c r="N20" i="4"/>
  <c r="N26" i="4"/>
  <c r="N33" i="4"/>
  <c r="N55" i="4"/>
  <c r="N61" i="4"/>
  <c r="N68" i="4"/>
  <c r="N77" i="4"/>
  <c r="N83" i="4"/>
  <c r="O16" i="4"/>
  <c r="O22" i="4"/>
  <c r="O29" i="4"/>
  <c r="O35" i="4"/>
  <c r="O57" i="4"/>
  <c r="O63" i="4"/>
  <c r="O71" i="4"/>
  <c r="O79" i="4"/>
  <c r="O85" i="4"/>
  <c r="G72" i="4"/>
  <c r="L72" i="4" s="1"/>
  <c r="M29" i="4"/>
  <c r="L60" i="4"/>
  <c r="E18" i="4"/>
  <c r="L19" i="4"/>
  <c r="L25" i="4"/>
  <c r="L32" i="4"/>
  <c r="B69" i="4"/>
  <c r="C18" i="4"/>
  <c r="M18" i="4" s="1"/>
  <c r="E72" i="4"/>
  <c r="O73" i="4"/>
  <c r="I64" i="4"/>
  <c r="L39" i="4"/>
  <c r="L70" i="4"/>
  <c r="L73" i="4"/>
  <c r="B64" i="4"/>
  <c r="B54" i="4"/>
  <c r="L55" i="4"/>
  <c r="L29" i="4"/>
  <c r="C73" i="5"/>
  <c r="C90" i="5" s="1"/>
  <c r="C91" i="5" s="1"/>
  <c r="B25" i="5"/>
  <c r="B18" i="4"/>
  <c r="L20" i="4"/>
  <c r="M15" i="4"/>
  <c r="D12" i="4"/>
  <c r="E12" i="4"/>
  <c r="O15" i="4"/>
  <c r="B12" i="4"/>
  <c r="J12" i="4"/>
  <c r="H12" i="4"/>
  <c r="H76" i="4" s="1"/>
  <c r="G12" i="4"/>
  <c r="E64" i="4"/>
  <c r="B9" i="5"/>
  <c r="C73" i="6"/>
  <c r="D73" i="6"/>
  <c r="L73" i="6"/>
  <c r="G73" i="6"/>
  <c r="B61" i="5"/>
  <c r="E90" i="6" l="1"/>
  <c r="B76" i="4"/>
  <c r="B73" i="6"/>
  <c r="O28" i="4"/>
  <c r="I76" i="4"/>
  <c r="G76" i="4"/>
  <c r="J76" i="4"/>
  <c r="N18" i="4"/>
  <c r="E76" i="4"/>
  <c r="D76" i="4"/>
  <c r="B73" i="5"/>
  <c r="M72" i="4"/>
  <c r="C76" i="4"/>
  <c r="M76" i="4" s="1"/>
  <c r="L69" i="4"/>
  <c r="L54" i="4"/>
  <c r="O54" i="4"/>
  <c r="N72" i="4"/>
  <c r="O69" i="4"/>
  <c r="L12" i="4"/>
  <c r="L64" i="4"/>
  <c r="O72" i="4"/>
  <c r="O18" i="4"/>
  <c r="L18" i="4"/>
  <c r="O64" i="4"/>
  <c r="N28" i="4"/>
  <c r="N12" i="4"/>
  <c r="M12" i="4"/>
  <c r="N64" i="4"/>
  <c r="L28" i="4"/>
  <c r="N54" i="4"/>
  <c r="O12" i="4"/>
  <c r="O76" i="4" l="1"/>
  <c r="N76" i="4"/>
  <c r="L76" i="4"/>
</calcChain>
</file>

<file path=xl/sharedStrings.xml><?xml version="1.0" encoding="utf-8"?>
<sst xmlns="http://schemas.openxmlformats.org/spreadsheetml/2006/main" count="1760" uniqueCount="816">
  <si>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</si>
  <si>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</si>
  <si>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</si>
  <si>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</si>
  <si>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</si>
  <si>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</si>
  <si>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</si>
  <si>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</si>
  <si>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</si>
  <si>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</si>
  <si>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</si>
  <si>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</si>
  <si>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</si>
  <si>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</si>
  <si>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</si>
  <si>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</si>
  <si>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</si>
  <si>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</si>
  <si>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</si>
  <si>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</si>
  <si>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</si>
  <si>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</si>
  <si>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</si>
  <si>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</si>
  <si>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</si>
  <si>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</si>
  <si>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</si>
  <si>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</si>
  <si>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</si>
  <si>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</si>
  <si>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</si>
  <si>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</si>
  <si>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</si>
  <si>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</si>
  <si>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</si>
  <si>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</si>
  <si>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</si>
  <si>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</si>
  <si>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</si>
  <si>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</si>
  <si>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</si>
  <si>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</si>
  <si>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</si>
  <si>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</si>
  <si>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</si>
  <si>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</si>
  <si>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</si>
  <si>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</si>
  <si>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</si>
  <si>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</si>
  <si>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</si>
  <si>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</si>
  <si>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</si>
  <si>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</si>
  <si>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</si>
  <si>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</si>
  <si>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</si>
  <si>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</si>
  <si>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</si>
  <si>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</si>
  <si>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</si>
  <si>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</si>
  <si>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</si>
  <si>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</si>
  <si>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</si>
  <si>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</si>
  <si>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</si>
  <si>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</si>
  <si>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</si>
  <si>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</si>
  <si>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</si>
  <si>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</si>
  <si>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</si>
  <si>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</si>
  <si>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</si>
  <si>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</si>
  <si>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</si>
  <si>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</si>
  <si>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</si>
  <si>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</si>
  <si>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</si>
  <si>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</si>
  <si>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</si>
  <si>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</si>
  <si>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</si>
  <si>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</si>
  <si>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</si>
  <si>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</si>
  <si>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</si>
  <si>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</si>
  <si>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</si>
  <si>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[día] de [mes] del [año]</t>
  </si>
  <si>
    <t>Fecha de imputación: hasta el [día] de [mes] del [año]</t>
  </si>
  <si>
    <t>Fuente: [fuente]</t>
  </si>
  <si>
    <t xml:space="preserve">Total </t>
  </si>
  <si>
    <t xml:space="preserve">SERVICIO NACIONAL DE SALUD </t>
  </si>
  <si>
    <t>FONDO REPONIBLE</t>
  </si>
  <si>
    <t xml:space="preserve">TOTAL </t>
  </si>
  <si>
    <t>2do</t>
  </si>
  <si>
    <t>1ro</t>
  </si>
  <si>
    <t>3ro</t>
  </si>
  <si>
    <t>4to</t>
  </si>
  <si>
    <t>SERVICIO NACIONAL DE SALUD</t>
  </si>
  <si>
    <t>NOMBRE DEL ESTABLECIMIENTO</t>
  </si>
  <si>
    <t>REGION</t>
  </si>
  <si>
    <t>Ejecución de Gastos  VENTA SERVICIOS  2021</t>
  </si>
  <si>
    <t>CONSOLIDADO GASTOS EJECUCION FINANCIERA 2021</t>
  </si>
  <si>
    <t>REGION_____</t>
  </si>
  <si>
    <t>VENTA SEVICIOS/OTROS APORTES</t>
  </si>
  <si>
    <t>Ejecución de Gastos  FONDO 100 2021</t>
  </si>
  <si>
    <t>DIRECCIÓN DE FISCALIZACIÓN Y CONTROL</t>
  </si>
  <si>
    <t>A</t>
  </si>
  <si>
    <t>B</t>
  </si>
  <si>
    <t>C</t>
  </si>
  <si>
    <t>D</t>
  </si>
  <si>
    <t>E</t>
  </si>
  <si>
    <t>F</t>
  </si>
  <si>
    <t>PERÍODO</t>
  </si>
  <si>
    <t>MONTO</t>
  </si>
  <si>
    <t>PRÉSTAMOS Y/O ANTICIPOS FINANCIEROS OTORGADOS POR SENASA</t>
  </si>
  <si>
    <t>TOTAL</t>
  </si>
  <si>
    <r>
      <rPr>
        <b/>
        <sz val="12"/>
        <color theme="1"/>
        <rFont val="Calibri"/>
        <family val="2"/>
        <scheme val="minor"/>
      </rPr>
      <t>Nota</t>
    </r>
    <r>
      <rPr>
        <sz val="12"/>
        <color theme="1"/>
        <rFont val="Calibri"/>
        <family val="2"/>
        <scheme val="minor"/>
      </rPr>
      <t>. En el caso de las columnas D, E y F, solo aplican para llenado de los préstamos otogados por SENASA.</t>
    </r>
  </si>
  <si>
    <t xml:space="preserve">Preparado por: </t>
  </si>
  <si>
    <t xml:space="preserve">                                                                                        ___________________________________________</t>
  </si>
  <si>
    <t xml:space="preserve">Total General </t>
  </si>
  <si>
    <t xml:space="preserve">Sub-Total </t>
  </si>
  <si>
    <t xml:space="preserve">Cafetería </t>
  </si>
  <si>
    <t>FUTURO</t>
  </si>
  <si>
    <t>MONUMENTAL</t>
  </si>
  <si>
    <t>UNIVERSAL</t>
  </si>
  <si>
    <t>YUNEN</t>
  </si>
  <si>
    <t>GMA</t>
  </si>
  <si>
    <t>SIMAG</t>
  </si>
  <si>
    <t>APS</t>
  </si>
  <si>
    <t>FONDO 100</t>
  </si>
  <si>
    <t>INGRESOS</t>
  </si>
  <si>
    <t xml:space="preserve">valor de Transferencia o Cheque </t>
  </si>
  <si>
    <t xml:space="preserve">No. De Documento de referencia </t>
  </si>
  <si>
    <t xml:space="preserve">Fecha deposito </t>
  </si>
  <si>
    <t>ARS</t>
  </si>
  <si>
    <t>origen</t>
  </si>
  <si>
    <t xml:space="preserve">Comportamiento de Ingresos percibidos Segregados según Origen </t>
  </si>
  <si>
    <t xml:space="preserve">Dirección de Fiscalización y Control </t>
  </si>
  <si>
    <t xml:space="preserve">Servicio Nacional de Salud </t>
  </si>
  <si>
    <t xml:space="preserve">TOTALES </t>
  </si>
  <si>
    <t>Balance CxC</t>
  </si>
  <si>
    <t>Monto pagado</t>
  </si>
  <si>
    <t>Referencia Documento de pago (CK-T)</t>
  </si>
  <si>
    <t xml:space="preserve">Valor a Pagar </t>
  </si>
  <si>
    <t xml:space="preserve">Monto Glosado </t>
  </si>
  <si>
    <t xml:space="preserve">Monto Facturado </t>
  </si>
  <si>
    <t>Fechade corte</t>
  </si>
  <si>
    <t xml:space="preserve">Comportamiento  Cuentas por Cobrar Segú Origen </t>
  </si>
  <si>
    <t xml:space="preserve">    </t>
  </si>
  <si>
    <t>1% a ser asignado durante el ejercicio para inversión por calamidad pública</t>
  </si>
  <si>
    <t>`01</t>
  </si>
  <si>
    <t>5% a ser asignado durante el ejercicio para inversión</t>
  </si>
  <si>
    <t>Gastos a Ser Asignados Durante el Ejercicio para Inversión (Art. 32 Y 33 Ley 423-06)</t>
  </si>
  <si>
    <t>Construcciones en bienes de uso privado concesionados</t>
  </si>
  <si>
    <t>Construcciones en bienes de uso público concesionados</t>
  </si>
  <si>
    <t>Construcciones En Bienes Concesionados</t>
  </si>
  <si>
    <t>Obras en plantas industriales, hidrocarburos y minas</t>
  </si>
  <si>
    <t>Obras en cementerios</t>
  </si>
  <si>
    <t>Obras urbanísticas</t>
  </si>
  <si>
    <t>Infraestructura y plantaciones agrícolas</t>
  </si>
  <si>
    <t>Infraestructura marítima y aérea</t>
  </si>
  <si>
    <t>Infraestructura terrestre y obras anexas</t>
  </si>
  <si>
    <t>Obras de telecomunicaciones</t>
  </si>
  <si>
    <t>Obras de Energía</t>
  </si>
  <si>
    <t>Obras Hidráulicas Y Sanitarias</t>
  </si>
  <si>
    <t>Infraestructura</t>
  </si>
  <si>
    <t>Mejoras de tierras y terrenos</t>
  </si>
  <si>
    <t>Obras para edificación de otras estructuras</t>
  </si>
  <si>
    <t>Obras para edificación no residencial</t>
  </si>
  <si>
    <t>Obras para edificación residencial (viviendas)</t>
  </si>
  <si>
    <t>Obras En Edificaciones</t>
  </si>
  <si>
    <t>Obras</t>
  </si>
  <si>
    <t>Otras estructuras</t>
  </si>
  <si>
    <t>01</t>
  </si>
  <si>
    <t>Objetos del patrimonio culyural</t>
  </si>
  <si>
    <t>03</t>
  </si>
  <si>
    <t>Antiguedades, bienes artisticos y otros objetos de arte</t>
  </si>
  <si>
    <t>02</t>
  </si>
  <si>
    <t>Metales y piedras preciosas</t>
  </si>
  <si>
    <t>Objetos de valor</t>
  </si>
  <si>
    <t>Tierras</t>
  </si>
  <si>
    <t>Terrenos</t>
  </si>
  <si>
    <t>Edificios no residenciales</t>
  </si>
  <si>
    <t>Edificios residenciales (viviendas)</t>
  </si>
  <si>
    <t>Bienes Inmuebles</t>
  </si>
  <si>
    <t>Otros activos intangibles</t>
  </si>
  <si>
    <t>Comerciales</t>
  </si>
  <si>
    <t>`04</t>
  </si>
  <si>
    <t>Industriales</t>
  </si>
  <si>
    <t>`03</t>
  </si>
  <si>
    <t>Intelectuales</t>
  </si>
  <si>
    <t>`02</t>
  </si>
  <si>
    <t>Informáticas</t>
  </si>
  <si>
    <t>Licencias informáticas e intelectuales, industriales y comerciales</t>
  </si>
  <si>
    <t>Concesiones</t>
  </si>
  <si>
    <t>Marcas y patentes</t>
  </si>
  <si>
    <t>Estudios de preinversión</t>
  </si>
  <si>
    <t>Originales para esparcimiento, literarios o artísticos</t>
  </si>
  <si>
    <t>Base de datos</t>
  </si>
  <si>
    <t>Programas de informática</t>
  </si>
  <si>
    <t>Programas de informática y base de datos</t>
  </si>
  <si>
    <t>Exploración y evaluación minera</t>
  </si>
  <si>
    <t>Investigación y desarrollo</t>
  </si>
  <si>
    <t>Bienes Intangibles</t>
  </si>
  <si>
    <t>Árboles, cultivos y plantas que generan productos recurrentes</t>
  </si>
  <si>
    <t>Otros animales que generan producción recurrente</t>
  </si>
  <si>
    <t>Especies menores y de zoológico</t>
  </si>
  <si>
    <t>Equinos</t>
  </si>
  <si>
    <t>Peces y acuicultura</t>
  </si>
  <si>
    <t>Ovinos y caprinos</t>
  </si>
  <si>
    <t>Aves</t>
  </si>
  <si>
    <t>Porcinos</t>
  </si>
  <si>
    <t>Bovinos</t>
  </si>
  <si>
    <t>Activos Biológicos Cultivables</t>
  </si>
  <si>
    <t>Equipos de Seguridad</t>
  </si>
  <si>
    <t>Equipos De Defensa</t>
  </si>
  <si>
    <t>Equipos De Defensa Y Seguridad</t>
  </si>
  <si>
    <t>Otros equipos</t>
  </si>
  <si>
    <t>Herramientas y máquinas-herramientas</t>
  </si>
  <si>
    <t>Equipo de generación eléctrica, aparatos y accesorios eléctricos</t>
  </si>
  <si>
    <t>Equipo de comunicación, telecomunicaciones y señalamiento</t>
  </si>
  <si>
    <t>Sistemas de aire acondicionado, calefacción y refrigeración industrial y comercial</t>
  </si>
  <si>
    <t>Maquinaria y equipo de construcción</t>
  </si>
  <si>
    <t>Maquinaria y equipo industrial</t>
  </si>
  <si>
    <t>Maquinaria y equipo agropecuario</t>
  </si>
  <si>
    <t>Maquinaria, Otros Equipos y Herramientas</t>
  </si>
  <si>
    <t>Otros equipos de transporte</t>
  </si>
  <si>
    <t>Equipo de elevación</t>
  </si>
  <si>
    <t>Equipo de tracción</t>
  </si>
  <si>
    <t>Embarcaciones</t>
  </si>
  <si>
    <t>Equipo ferroviario</t>
  </si>
  <si>
    <t>Equipo aeronáutico</t>
  </si>
  <si>
    <t>Carrocerías y remolques</t>
  </si>
  <si>
    <t>Automóviles y camiones</t>
  </si>
  <si>
    <t>Vehículos y Equipo de Transporte, Tracción y Elevación</t>
  </si>
  <si>
    <t>Equipo Meteorológico y sismológico</t>
  </si>
  <si>
    <t>Equipo veterinario</t>
  </si>
  <si>
    <t>Instrumental médico y de laboratorio</t>
  </si>
  <si>
    <t>Equipo médico y de laboratorio</t>
  </si>
  <si>
    <t>Equipo e Instrumental, Científico Y Laboratorio</t>
  </si>
  <si>
    <t>Equipos recreativos</t>
  </si>
  <si>
    <t>Cámaras fotográficas y de video</t>
  </si>
  <si>
    <t>Aparatos deportivos</t>
  </si>
  <si>
    <t>Equipos y aparatos audiovisuales</t>
  </si>
  <si>
    <t>Mobiliario y Equipo Educacional y Recreativo</t>
  </si>
  <si>
    <t>Otros mobiliarios y equipos no identificados precedentemente</t>
  </si>
  <si>
    <t>Electrodomésticos</t>
  </si>
  <si>
    <t>Equipo Computacional</t>
  </si>
  <si>
    <t>Muebles de alojamiento, excepto de oficina y estantería</t>
  </si>
  <si>
    <t>Muebles de oficina y estantería</t>
  </si>
  <si>
    <t>Mobiliario Y Equipo</t>
  </si>
  <si>
    <t>Bienes Muebles, Inmuebles e Intangibles</t>
  </si>
  <si>
    <t>Subsidios para viviendas económicas</t>
  </si>
  <si>
    <t>05</t>
  </si>
  <si>
    <t>Subsidio obreros portuarios Ley 199-02</t>
  </si>
  <si>
    <t>04</t>
  </si>
  <si>
    <t>Programa de repitencia escolar</t>
  </si>
  <si>
    <t>Ayudas y donaciones ocasionales a hogares y personas</t>
  </si>
  <si>
    <t>Ayudas y donaciones programadas a hogares y personas</t>
  </si>
  <si>
    <t>Ayudas y donaciones a personas</t>
  </si>
  <si>
    <t>Productos y útiles varios n.i.p.</t>
  </si>
  <si>
    <t xml:space="preserve">Accesorios     </t>
  </si>
  <si>
    <t xml:space="preserve">Repuestos   </t>
  </si>
  <si>
    <t>Repuestos y accesorios menores</t>
  </si>
  <si>
    <t>Productos y útiles veterinarios</t>
  </si>
  <si>
    <t>Productos eléctricos y afines</t>
  </si>
  <si>
    <t>Útiles de cocina y comedor</t>
  </si>
  <si>
    <t>Útiles destinados a actividades deportivas y recreativas</t>
  </si>
  <si>
    <t>Útiles menores médico quirúrgicos</t>
  </si>
  <si>
    <t>Útiles de escritorio, oficina informática y de enseñanza</t>
  </si>
  <si>
    <t>Material para limpieza</t>
  </si>
  <si>
    <t>Productos y Útiles Varios</t>
  </si>
  <si>
    <t>1% a ser asignados durante el ej. para gastos corrientes por calamidad pública</t>
  </si>
  <si>
    <t>5% a ser asignados durante el ejercicio para gastos corrientes</t>
  </si>
  <si>
    <t>Gastos a ser Asignados Durante el Ejercicio (ART. 32 Y 33 Ley 423-06)</t>
  </si>
  <si>
    <t>Otros Productos Quimicos y Conexos</t>
  </si>
  <si>
    <t>Pinturas, Lacas, Barnices, Diluyentes y Absorbentes para Pintura</t>
  </si>
  <si>
    <t>06</t>
  </si>
  <si>
    <t>Insecticidas, Fumigantes y Otros</t>
  </si>
  <si>
    <t>Abonos y Fertilizantes</t>
  </si>
  <si>
    <t>Productos Químicos de uso Personal</t>
  </si>
  <si>
    <t>Productos Fotoquímicos</t>
  </si>
  <si>
    <t>Productos explosivos y Pirotecnia</t>
  </si>
  <si>
    <t>Productos químicos y conexos</t>
  </si>
  <si>
    <t>Gas Natural</t>
  </si>
  <si>
    <t>07</t>
  </si>
  <si>
    <t>Lubricantes</t>
  </si>
  <si>
    <t>Aceites y Grasas</t>
  </si>
  <si>
    <t>Gas GLP</t>
  </si>
  <si>
    <t>Kerosén</t>
  </si>
  <si>
    <t>Gasoil</t>
  </si>
  <si>
    <t>Gasolina</t>
  </si>
  <si>
    <t>Combustibles y lubricantes</t>
  </si>
  <si>
    <t>Combustibles, Lubricantes, Productos Químicos y Conexos</t>
  </si>
  <si>
    <t>Otros Productos Minerales no metálicos</t>
  </si>
  <si>
    <t>Otros minerales</t>
  </si>
  <si>
    <t>Productos abrasivos</t>
  </si>
  <si>
    <t>Productos aislantes</t>
  </si>
  <si>
    <t>Piedra, arcilla y arena</t>
  </si>
  <si>
    <t>Carbón mineral</t>
  </si>
  <si>
    <t>Petróleo crudo</t>
  </si>
  <si>
    <t>Minerales metalíferos</t>
  </si>
  <si>
    <t>Minerales</t>
  </si>
  <si>
    <t>Accesorios de metal</t>
  </si>
  <si>
    <t>Productos de hojalata</t>
  </si>
  <si>
    <t>Herramientas menores</t>
  </si>
  <si>
    <t>Productos metálicos y sus derivados</t>
  </si>
  <si>
    <t>Productos de porcelana</t>
  </si>
  <si>
    <t>Productos de loza</t>
  </si>
  <si>
    <t>Productos de vidrio</t>
  </si>
  <si>
    <t>Productos de vidrio, loza y porcelana</t>
  </si>
  <si>
    <t>Productos de arcilla y derivados</t>
  </si>
  <si>
    <t>Productos de yeso</t>
  </si>
  <si>
    <t>Productos de asbestos</t>
  </si>
  <si>
    <t>Productos de cal</t>
  </si>
  <si>
    <t>Productos de cemento</t>
  </si>
  <si>
    <t>Productos de cemento, cal, asbesto, yeso y arcilla</t>
  </si>
  <si>
    <t>Productos de Minerales, Metálicos y No Metálicos</t>
  </si>
  <si>
    <t>Artículos de plástico</t>
  </si>
  <si>
    <t>Artículos de caucho</t>
  </si>
  <si>
    <t>Llantas y neumáticos</t>
  </si>
  <si>
    <t>Artículos de cuero</t>
  </si>
  <si>
    <t>Cueros y pieles</t>
  </si>
  <si>
    <t>Productos de Cuero, Caucho y Plásticos</t>
  </si>
  <si>
    <t>Productos medicinales para uso veterinario</t>
  </si>
  <si>
    <t>Productos medicinales para uso humano</t>
  </si>
  <si>
    <t>Productos Farmacéuticos</t>
  </si>
  <si>
    <t>Especies timbrados y valoradas</t>
  </si>
  <si>
    <t>Textos de enseñanza</t>
  </si>
  <si>
    <t>Libros, revistas y periódicos</t>
  </si>
  <si>
    <t>Productos de artes gráficas</t>
  </si>
  <si>
    <t>Productos de papel y cartón</t>
  </si>
  <si>
    <t>Papel de escritorio</t>
  </si>
  <si>
    <t>Productos de Papel, Cartón e Impresos</t>
  </si>
  <si>
    <t>Prendas de vestir</t>
  </si>
  <si>
    <t>Acabados textiles</t>
  </si>
  <si>
    <t>Hilados y telas</t>
  </si>
  <si>
    <t>Textiles y Vestuarios</t>
  </si>
  <si>
    <t>Madera, corcho y sus manufacturas</t>
  </si>
  <si>
    <t>Productos forestales</t>
  </si>
  <si>
    <t>Productos agrícolas</t>
  </si>
  <si>
    <t>Productos pecuarios</t>
  </si>
  <si>
    <t>Productos agroforestales y pecuarios</t>
  </si>
  <si>
    <t>Alimentos para animales</t>
  </si>
  <si>
    <t>Desayuno escolar</t>
  </si>
  <si>
    <t>Alimentos y bebidas para personas</t>
  </si>
  <si>
    <t>Alimentos y Productos Agroforestales</t>
  </si>
  <si>
    <t>Materiales y Suministros</t>
  </si>
  <si>
    <t>Servicios de alimentación de uso inmediato</t>
  </si>
  <si>
    <t>Servicios de alimentación</t>
  </si>
  <si>
    <t>Otras Contrataciones de Servicios</t>
  </si>
  <si>
    <t>Tasas</t>
  </si>
  <si>
    <t>Derechos</t>
  </si>
  <si>
    <t>Impuestos</t>
  </si>
  <si>
    <t>Impuestos, derechos y tasas</t>
  </si>
  <si>
    <t>Otros servicios técnicos profesionales</t>
  </si>
  <si>
    <t>Servicios de informática y sistemas computarizados</t>
  </si>
  <si>
    <t>Servicios de capacitación</t>
  </si>
  <si>
    <t>Servicios de contabilidad y auditoria</t>
  </si>
  <si>
    <t>Servicios jurídicos</t>
  </si>
  <si>
    <t>Estudios, investigaciones y análisis de factibilidad</t>
  </si>
  <si>
    <t>Servicios Técnicos y Profesionales</t>
  </si>
  <si>
    <t>Actuaciones artísticas</t>
  </si>
  <si>
    <t>Actuaciones deportivas</t>
  </si>
  <si>
    <t>Festividades</t>
  </si>
  <si>
    <t>Eventos generales</t>
  </si>
  <si>
    <t>Organización de eventos y festividades</t>
  </si>
  <si>
    <t>Limpieza e higiene</t>
  </si>
  <si>
    <t>Lavandería</t>
  </si>
  <si>
    <t>Fumigación</t>
  </si>
  <si>
    <t>Fumigación, lavandería, limpieza e higiene</t>
  </si>
  <si>
    <t>Servicios funerarios y gastos conexos</t>
  </si>
  <si>
    <t>Servicios sanitarios médicos y veterinarios</t>
  </si>
  <si>
    <t>Comisiones y gastos bancarios</t>
  </si>
  <si>
    <t>Gastos judiciales</t>
  </si>
  <si>
    <t>Otros Servicios No Personales</t>
  </si>
  <si>
    <t>Instalaciones temporales</t>
  </si>
  <si>
    <t>Otros servicios de mantenimiento y reparacion de maquinaria y equipos, no identificados anteriormente</t>
  </si>
  <si>
    <t>99</t>
  </si>
  <si>
    <t>Servicios de Mant. Reparacion, desmonte e instalacion</t>
  </si>
  <si>
    <t>08</t>
  </si>
  <si>
    <t xml:space="preserve">Mant. Y reparacion de equipos industriales y produccion </t>
  </si>
  <si>
    <t>Mantenimiento y reparación de equipos de transporte, tracción y elevación</t>
  </si>
  <si>
    <t>Mantenimiento y reparación de equipo de comunicación</t>
  </si>
  <si>
    <t>Mantenimiento y reparación de equipos sanitarios y de laboratorio</t>
  </si>
  <si>
    <t>Mantenimiento y reparación de equipo educacional</t>
  </si>
  <si>
    <t>Mantenimiento y reparación de equipo para computación</t>
  </si>
  <si>
    <t>Mantenimiento y reparación de equipo de oficina y muebles</t>
  </si>
  <si>
    <t>Reparaciones de maquinarias y equipos</t>
  </si>
  <si>
    <t>Otros mantenimientos, reparaciones y sus derivados, no identificados precedentemente</t>
  </si>
  <si>
    <t>Servicios de pintura y derivados con fin de higiene y embellecimiento</t>
  </si>
  <si>
    <t>Instalaciones eléctricas</t>
  </si>
  <si>
    <t>Obras en bienes de dominio público</t>
  </si>
  <si>
    <t>Mantenimiento y reparación de obras civiles en instalaciones varias</t>
  </si>
  <si>
    <t>Limpieza, desmalezamiento de tierras y terrenos</t>
  </si>
  <si>
    <t>Servicios especiales de mantenimiento y reparación</t>
  </si>
  <si>
    <t>Obras menores en edificaciones</t>
  </si>
  <si>
    <t>Obras Menores</t>
  </si>
  <si>
    <t>Servicios de Conservación, Reparaciones Menores e Instalaciones Temporales</t>
  </si>
  <si>
    <t>Seguros de la producción agrícola</t>
  </si>
  <si>
    <t>Seguros de personas</t>
  </si>
  <si>
    <t>Seguro de bienes muebles</t>
  </si>
  <si>
    <t>Seguro de bienes inmuebles e infraestructura</t>
  </si>
  <si>
    <t>Seguros</t>
  </si>
  <si>
    <t>Otros alquileres</t>
  </si>
  <si>
    <t>Alquileres de equipos de construcción y movimiento de tierras</t>
  </si>
  <si>
    <t>Alquileres de terrenos</t>
  </si>
  <si>
    <t>Alquiler de tierras</t>
  </si>
  <si>
    <t>Alquileres de equipos de transporte, tracción y elevación</t>
  </si>
  <si>
    <t>Alquiler de equipos sanitarios y de laboratorios</t>
  </si>
  <si>
    <t>Alquiler de equipo de oficina y muebles</t>
  </si>
  <si>
    <t>Alquiler de equipo de comunicación</t>
  </si>
  <si>
    <t>Alquiler de equipo para computación</t>
  </si>
  <si>
    <t>Alquiler de equipo educacional</t>
  </si>
  <si>
    <t>Alquileres de maquinarias y equipos</t>
  </si>
  <si>
    <t>Alquileres de equipos de producción</t>
  </si>
  <si>
    <t>Alquileres y rentas de edificios y locales</t>
  </si>
  <si>
    <t>Alquileres y Rentas</t>
  </si>
  <si>
    <t>Peaje</t>
  </si>
  <si>
    <t>Almacenaje</t>
  </si>
  <si>
    <t>Fletes</t>
  </si>
  <si>
    <t>Pasajes</t>
  </si>
  <si>
    <t>Transporte y Almacenaje</t>
  </si>
  <si>
    <t>Viáticos fuera del país</t>
  </si>
  <si>
    <t>Viáticos dentro del país</t>
  </si>
  <si>
    <t>Viáticos</t>
  </si>
  <si>
    <t>Impresión y encuadernación</t>
  </si>
  <si>
    <t>Publicidad y propaganda</t>
  </si>
  <si>
    <t>Publicidad Impresión y Encuadernación</t>
  </si>
  <si>
    <t>Recolección de residuos sólidos</t>
  </si>
  <si>
    <t>Agua</t>
  </si>
  <si>
    <t>Electricidad no cortable</t>
  </si>
  <si>
    <t>Energía eléctrica</t>
  </si>
  <si>
    <t>Electricidad</t>
  </si>
  <si>
    <t>Servicio de Internet y televisión por cable</t>
  </si>
  <si>
    <t>Telefax y correos</t>
  </si>
  <si>
    <t>Teléfono local</t>
  </si>
  <si>
    <t>Servicios telefónico de larga distancia</t>
  </si>
  <si>
    <t>Radiocomunicación</t>
  </si>
  <si>
    <t>Servicios Básicos</t>
  </si>
  <si>
    <t>Servicios No Personales</t>
  </si>
  <si>
    <t>Contribuciones al plan de retiro complementario</t>
  </si>
  <si>
    <t>Contribuciones al seguro de riesgo laboral</t>
  </si>
  <si>
    <t>Contribuciones al seguro de pensiones</t>
  </si>
  <si>
    <t>Contribuciones al seguro de salud</t>
  </si>
  <si>
    <t>Contribuciones a la Seguridad Social y Riesgo Laboral</t>
  </si>
  <si>
    <t>Gratificaciones por aniversario de institución</t>
  </si>
  <si>
    <t>Gratificaciones por pasantías</t>
  </si>
  <si>
    <t>Bono escolar</t>
  </si>
  <si>
    <t>Otras Gratificaciones y Bonificaciones</t>
  </si>
  <si>
    <t>Bonificaciones</t>
  </si>
  <si>
    <t>Gratificaciones y Bonificaciones</t>
  </si>
  <si>
    <t>Gastos de representación en el exterior</t>
  </si>
  <si>
    <t>Gastos de representación en el país</t>
  </si>
  <si>
    <t>Gastos de representación</t>
  </si>
  <si>
    <t>Dietas en el exterior</t>
  </si>
  <si>
    <t>Dietas en el país</t>
  </si>
  <si>
    <t>Dietas</t>
  </si>
  <si>
    <t>Dietas y Gastos de Representación</t>
  </si>
  <si>
    <t>Beneficio , Acuerdo de desempeños institucionales (Reglamento 423-12)</t>
  </si>
  <si>
    <t>Bono por desempeño</t>
  </si>
  <si>
    <t>09</t>
  </si>
  <si>
    <t>Compensaciones especiales</t>
  </si>
  <si>
    <t>Compensación por distancia</t>
  </si>
  <si>
    <t>Compensación por resultados</t>
  </si>
  <si>
    <t>Compensación servicios de Seguridad</t>
  </si>
  <si>
    <t>Prima de transporte</t>
  </si>
  <si>
    <t>Pago de horas extraordinarias, Horas extraordinarias fin de año (Reglamento 523-09)</t>
  </si>
  <si>
    <t>Compensación por gastos de alimentación</t>
  </si>
  <si>
    <t>Compensación</t>
  </si>
  <si>
    <t>Primas por antigüedad</t>
  </si>
  <si>
    <t>Sobresueldos</t>
  </si>
  <si>
    <t>Proporción de vacaciones no disfrutadas</t>
  </si>
  <si>
    <t>Prestación laboral por desvinculación</t>
  </si>
  <si>
    <t>Pago de porcentaje por desvinculación de cargo</t>
  </si>
  <si>
    <t>Prestaciones Laborales</t>
  </si>
  <si>
    <t>Regalía Pascual</t>
  </si>
  <si>
    <t>Sueldos al personal fijo en trámite de pensiones</t>
  </si>
  <si>
    <t>Remuneraciones al personal de carácter temporal</t>
  </si>
  <si>
    <t xml:space="preserve"> Jornales</t>
  </si>
  <si>
    <t>Sueldo al personal nominal en período probatorio</t>
  </si>
  <si>
    <t>Sueldos al personal por servicios especiales</t>
  </si>
  <si>
    <t>Suplencias</t>
  </si>
  <si>
    <t>Sueldos de personal nominal</t>
  </si>
  <si>
    <t>Sueldos al personal contratado y/o igualado</t>
  </si>
  <si>
    <t>Remuneraciones al personal con carácter transitorio</t>
  </si>
  <si>
    <t>Creaciones a médicos</t>
  </si>
  <si>
    <t>Incentivos y escalafón</t>
  </si>
  <si>
    <t>Nuevas plazas maestros</t>
  </si>
  <si>
    <t>Ascensos a militares</t>
  </si>
  <si>
    <t>Sueldos a médicos</t>
  </si>
  <si>
    <t xml:space="preserve"> Sueldos fijos</t>
  </si>
  <si>
    <t>Remuneraciones al personal fijo</t>
  </si>
  <si>
    <t>Remuneraciones</t>
  </si>
  <si>
    <t>Servicios Personales</t>
  </si>
  <si>
    <t>Gastos</t>
  </si>
  <si>
    <t>Aportes Nomina SNS</t>
  </si>
  <si>
    <t>Venta de Servicios/    Otros Aportes</t>
  </si>
  <si>
    <t>Anticipo Financiero/  Transferencia</t>
  </si>
  <si>
    <t>Auxiliar</t>
  </si>
  <si>
    <t>Sub-Cuenta</t>
  </si>
  <si>
    <t>Cuenta</t>
  </si>
  <si>
    <t>Objeto</t>
  </si>
  <si>
    <t>Tipo</t>
  </si>
  <si>
    <t>%</t>
  </si>
  <si>
    <t xml:space="preserve">Distribución del Gasto por Fuente de Financiamiento </t>
  </si>
  <si>
    <t>Descripción Gasto por Cuenta</t>
  </si>
  <si>
    <t>Código Presupuestario</t>
  </si>
  <si>
    <t>TOTAL INGRESOS RDS</t>
  </si>
  <si>
    <t>Venta de Servicios</t>
  </si>
  <si>
    <t>Transferencias Corrientes</t>
  </si>
  <si>
    <t>Otros Aportes</t>
  </si>
  <si>
    <t>Anticipo Financiero</t>
  </si>
  <si>
    <t>2.- Ingresos por Fuente / Cuenta</t>
  </si>
  <si>
    <t>1.- Balance Inicial / Fuente:</t>
  </si>
  <si>
    <t>Ingresos Generales:</t>
  </si>
  <si>
    <t>Consolidado de Ingresos y Gastos por Fuente de Financiamiento 2021</t>
  </si>
  <si>
    <t>Dirección de Fizcalización y Control</t>
  </si>
  <si>
    <t>Servicio Nacional de Salud</t>
  </si>
  <si>
    <t>Form. No.6 SRS</t>
  </si>
  <si>
    <t xml:space="preserve">Licda. </t>
  </si>
  <si>
    <t>Preparado por:</t>
  </si>
  <si>
    <t>Total</t>
  </si>
  <si>
    <t>Glosado</t>
  </si>
  <si>
    <t xml:space="preserve">Recibido </t>
  </si>
  <si>
    <t>Facturado</t>
  </si>
  <si>
    <t>Establecimientos</t>
  </si>
  <si>
    <t>“Año de la Consolidación de la Seguridad Alimentaria”</t>
  </si>
  <si>
    <t xml:space="preserve"> </t>
  </si>
  <si>
    <t>Total ARS PRIVADAS</t>
  </si>
  <si>
    <t xml:space="preserve">PRIMERA ARS HUMANO </t>
  </si>
  <si>
    <t>RESERVAS</t>
  </si>
  <si>
    <t>CMD</t>
  </si>
  <si>
    <t>ASEMAP</t>
  </si>
  <si>
    <t>META SALUD</t>
  </si>
  <si>
    <t xml:space="preserve">SEMMA </t>
  </si>
  <si>
    <t xml:space="preserve">ARS PLANSALUD BANCO CENTRAL </t>
  </si>
  <si>
    <t>ARS HUMANO</t>
  </si>
  <si>
    <t>RENACER</t>
  </si>
  <si>
    <t>Total SeNaSa</t>
  </si>
  <si>
    <t>SENASA  JUB. Y PENS.</t>
  </si>
  <si>
    <t>SENASA CONTRIBUTIVO</t>
  </si>
  <si>
    <t>SENASA SUBSIDIADO</t>
  </si>
  <si>
    <t xml:space="preserve">Facturado 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</si>
  <si>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</si>
  <si>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</si>
  <si>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</si>
  <si>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</si>
  <si>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</si>
  <si>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</si>
  <si>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</si>
  <si>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</si>
  <si>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FEBRERO</t>
  </si>
  <si>
    <t xml:space="preserve">ENERO </t>
  </si>
  <si>
    <t>Establecimiento:</t>
  </si>
  <si>
    <t>Ingresos Por Facturación ARS</t>
  </si>
  <si>
    <t xml:space="preserve">Dirección de Fiscalizacion y Control </t>
  </si>
  <si>
    <t xml:space="preserve">Servicio Nacional De Salud </t>
  </si>
  <si>
    <t>Centro Cardio-Neuro Oftarmologico y transplante CECANOT.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</si>
  <si>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n</t>
  </si>
  <si>
    <t>personal de caracter eventual</t>
  </si>
  <si>
    <t>Maquinaria y Equipo para tratamiento y suministro de agua</t>
  </si>
  <si>
    <t>Karla Massiel Gomez</t>
  </si>
  <si>
    <t>Lic. Francisco VillaBrille</t>
  </si>
  <si>
    <t>Preparado</t>
  </si>
  <si>
    <t>Revisado</t>
  </si>
  <si>
    <t xml:space="preserve">ARS UNIVERSAL </t>
  </si>
  <si>
    <t>ARS MAPFRED SALUD</t>
  </si>
  <si>
    <t>ARS META SALUD</t>
  </si>
  <si>
    <t xml:space="preserve">ARS HUMANO SEGURO </t>
  </si>
  <si>
    <t xml:space="preserve">ARS PRIMERA HUMANO </t>
  </si>
  <si>
    <t>ARS RENACER</t>
  </si>
  <si>
    <t>ARS RESERVAS</t>
  </si>
  <si>
    <t>ARS FUTURO</t>
  </si>
  <si>
    <t>ARS CMD</t>
  </si>
  <si>
    <t>ARS GMA</t>
  </si>
  <si>
    <t>ARS UASD</t>
  </si>
  <si>
    <t>ARS SIMAG</t>
  </si>
  <si>
    <t>ARS MONUMENTAL</t>
  </si>
  <si>
    <t>ARS APS</t>
  </si>
  <si>
    <t>ARS ASEMAP</t>
  </si>
  <si>
    <t>ARS SEMMA</t>
  </si>
  <si>
    <t>ARS PLAN SALUD</t>
  </si>
  <si>
    <t>Cecanot</t>
  </si>
  <si>
    <t>MAPFRED SALUD</t>
  </si>
  <si>
    <t>UASD</t>
  </si>
  <si>
    <t>Referencia factura</t>
  </si>
  <si>
    <t>ARS YUNEN</t>
  </si>
  <si>
    <t xml:space="preserve"> SENASA CONTRIBUTIVO </t>
  </si>
  <si>
    <t>Licda. Madelin Santana</t>
  </si>
  <si>
    <t>ARS SENASA SUBSIDIADO</t>
  </si>
  <si>
    <t>ARS SENASA CONTRIBUTIVO</t>
  </si>
  <si>
    <t>ARS SENASA PENSIONADO</t>
  </si>
  <si>
    <t>MARZO</t>
  </si>
  <si>
    <t>PENSIONADO</t>
  </si>
  <si>
    <t>DIRECCION DE FISCALIZACION Y CONTROL</t>
  </si>
  <si>
    <t>(Valores en RD$)</t>
  </si>
  <si>
    <t>CUENTA NO.</t>
  </si>
  <si>
    <t xml:space="preserve">NOMBRE DE LA CUENTA </t>
  </si>
  <si>
    <t>Servicio de internet y televisión por cable</t>
  </si>
  <si>
    <t>Mantenimiento y Reparación Equipos de Producción</t>
  </si>
  <si>
    <t>Servicios de Mantenimiento y Reparación, Desmonte e Instalación</t>
  </si>
  <si>
    <t>Pinturas, Lacas, Barnices, Diluyentes y Absorbentes para Pinturas</t>
  </si>
  <si>
    <t>Utiles de escritorio, oficina informática y de enseñanza</t>
  </si>
  <si>
    <t>Utiles menores médico quirùrgicos</t>
  </si>
  <si>
    <t>Utiles de cocina y comedor</t>
  </si>
  <si>
    <t>Otros repuestos y accesorios menores</t>
  </si>
  <si>
    <t>Accesorio</t>
  </si>
  <si>
    <t>Electrodomesticos</t>
  </si>
  <si>
    <t>Equipo Meteriológico y sismológico</t>
  </si>
  <si>
    <t>NO</t>
  </si>
  <si>
    <t xml:space="preserve">NOMBRES PROVEEDOR  </t>
  </si>
  <si>
    <t>FUENTE DE FINANCIAMIENTO</t>
  </si>
  <si>
    <t>MATERIAL MEDICO</t>
  </si>
  <si>
    <t>ALCON DOMINICANA</t>
  </si>
  <si>
    <t>MATERIAL DE OFICINA</t>
  </si>
  <si>
    <t>BIO NOVA</t>
  </si>
  <si>
    <t>CORAVASCULAR</t>
  </si>
  <si>
    <t>FARMACONAL</t>
  </si>
  <si>
    <t>HIDROMED, SRL</t>
  </si>
  <si>
    <t>INFALAB</t>
  </si>
  <si>
    <t>MEDICAMENTOS</t>
  </si>
  <si>
    <t>MACROTECH</t>
  </si>
  <si>
    <t>PEREZ BARROSO</t>
  </si>
  <si>
    <t>REMINTER</t>
  </si>
  <si>
    <t>SERVICIOS VASCULARES</t>
  </si>
  <si>
    <t>TROPIGAS DOMINICANA</t>
  </si>
  <si>
    <t xml:space="preserve">              Servicio Nacional de Salud                              </t>
  </si>
  <si>
    <t>PROMESE CAL</t>
  </si>
  <si>
    <t>OBLIGACIONES PENDIENTES DGII</t>
  </si>
  <si>
    <t>EVERMED</t>
  </si>
  <si>
    <t>PENTAFARMA</t>
  </si>
  <si>
    <t>SUPERMERCADO CARIBE</t>
  </si>
  <si>
    <t>COMPRA ALIMENTOS</t>
  </si>
  <si>
    <t>Seguro de Bienes Muebles</t>
  </si>
  <si>
    <t xml:space="preserve">                                 </t>
  </si>
  <si>
    <t>SEMMA</t>
  </si>
  <si>
    <t>BIO TEST LABORATORIO CLINICO</t>
  </si>
  <si>
    <t>ANALISIS PACIENTES</t>
  </si>
  <si>
    <t>SURBA SOLUCTIONS</t>
  </si>
  <si>
    <t>FUNDAS PLASTICAS</t>
  </si>
  <si>
    <t>17/11/2021</t>
  </si>
  <si>
    <t>HUMANO</t>
  </si>
  <si>
    <t>COMBUSTIBLE</t>
  </si>
  <si>
    <t>OXIGENO</t>
  </si>
  <si>
    <t>GTG INDUSTRIAL</t>
  </si>
  <si>
    <t>MEDTRONIC</t>
  </si>
  <si>
    <t>NOVAVISTA</t>
  </si>
  <si>
    <t>OXIMAX</t>
  </si>
  <si>
    <t>PC AUTLET</t>
  </si>
  <si>
    <t xml:space="preserve">IDOPPRIL </t>
  </si>
  <si>
    <t>ARS SEMMA COVID -19</t>
  </si>
  <si>
    <t>MAPFRE</t>
  </si>
  <si>
    <t>ARS  SEMMA COVID -19</t>
  </si>
  <si>
    <t>DETALLE OBLIGACIONES CONTRAÍDAS PENDIENTES AL 31/12/2021</t>
  </si>
  <si>
    <t>BENEFICIARIO</t>
  </si>
  <si>
    <t>DEL</t>
  </si>
  <si>
    <t xml:space="preserve">AL </t>
  </si>
  <si>
    <t>ORIGEN</t>
  </si>
  <si>
    <t>AMORTIZADO</t>
  </si>
  <si>
    <t>PENDIENTE</t>
  </si>
  <si>
    <t>17/03/2020</t>
  </si>
  <si>
    <t>19/11/20221</t>
  </si>
  <si>
    <t>PRESTACIONES LABORAL DESVINCULACION</t>
  </si>
  <si>
    <t>CUENTAS POR PAGAR SUPLIDORES</t>
  </si>
  <si>
    <r>
      <t>GASTOS DEJADOS DE ASUMIR (</t>
    </r>
    <r>
      <rPr>
        <b/>
        <sz val="11"/>
        <color theme="1"/>
        <rFont val="Calibri"/>
        <family val="2"/>
        <scheme val="minor"/>
      </rPr>
      <t>VIÁTICOS,PRESTACIONES A EMPLEADOS,COMPENSACIONES</t>
    </r>
    <r>
      <rPr>
        <sz val="11"/>
        <color theme="1"/>
        <rFont val="Calibri"/>
        <family val="2"/>
        <scheme val="minor"/>
      </rPr>
      <t>)</t>
    </r>
  </si>
  <si>
    <r>
      <t xml:space="preserve">Establecimiento:      _________________________    Mes:   Diciembre_. Año:  </t>
    </r>
    <r>
      <rPr>
        <b/>
        <u/>
        <sz val="11"/>
        <color theme="1"/>
        <rFont val="Calibri"/>
        <family val="2"/>
        <scheme val="minor"/>
      </rPr>
      <t>2021</t>
    </r>
    <r>
      <rPr>
        <b/>
        <sz val="11"/>
        <color theme="1"/>
        <rFont val="Calibri"/>
        <family val="2"/>
        <scheme val="minor"/>
      </rPr>
      <t xml:space="preserve">             SRS: I</t>
    </r>
  </si>
  <si>
    <t>16/12/2021</t>
  </si>
  <si>
    <t>SENASA</t>
  </si>
  <si>
    <t>17/12/2021</t>
  </si>
  <si>
    <t>22/12/2021</t>
  </si>
  <si>
    <t>27/09/2021</t>
  </si>
  <si>
    <t>21/11/2021</t>
  </si>
  <si>
    <t>28/10/2021</t>
  </si>
  <si>
    <t>06/12/202</t>
  </si>
  <si>
    <t>14/12/2021</t>
  </si>
  <si>
    <t>20/12/2021</t>
  </si>
  <si>
    <t>PLAN SALUD</t>
  </si>
  <si>
    <t>21/12/2021</t>
  </si>
  <si>
    <t>28/121/2021</t>
  </si>
  <si>
    <t>31/12/2021</t>
  </si>
  <si>
    <t>Alquiler de espacios internos a terceros</t>
  </si>
  <si>
    <t>Aportes provenientes de convenios Institucionales</t>
  </si>
  <si>
    <t>Ingresos Pacientes</t>
  </si>
  <si>
    <t>..</t>
  </si>
  <si>
    <t xml:space="preserve">DIRECCION DE FISCALIZACION Y CONTROL </t>
  </si>
  <si>
    <t>COMPROMISO DE DEUDAS AL 31 DE DICIEMBRE 2021</t>
  </si>
  <si>
    <t>SRS:_____________</t>
  </si>
  <si>
    <t xml:space="preserve">COCEPTO DE COMPRA ( BREVE DESCRIPCION ) </t>
  </si>
  <si>
    <t xml:space="preserve">MONTOS ANTERIORES </t>
  </si>
  <si>
    <t>MONTO AÑO -2021</t>
  </si>
  <si>
    <t>TOTAL DEUDA AL 31-12-2021</t>
  </si>
  <si>
    <t>ARIZA BATLLE</t>
  </si>
  <si>
    <t>VENTA DE SERVICIOS</t>
  </si>
  <si>
    <t>AIDSA</t>
  </si>
  <si>
    <t>RECOGIDA DESECHOS SOLIDOS</t>
  </si>
  <si>
    <t xml:space="preserve">ANEST, S. A. </t>
  </si>
  <si>
    <t>COMPRA MEDICAMENTOS</t>
  </si>
  <si>
    <t>A&amp;Y ELECTRIC</t>
  </si>
  <si>
    <t>COMPRA DE FILTRO</t>
  </si>
  <si>
    <t xml:space="preserve">BIO NUCLEAR, SA </t>
  </si>
  <si>
    <t>MANTENIMIENTO EQUIPOS</t>
  </si>
  <si>
    <t>REACTIVOS DE LABORATORIO</t>
  </si>
  <si>
    <t>C FEDERICO GOMEZ</t>
  </si>
  <si>
    <t>CENTRO AUTOMOTRIZ REMESA, SRL</t>
  </si>
  <si>
    <t>MANTENIMIENTO VEHICULO</t>
  </si>
  <si>
    <t>CRISTALIA DOMINICANA SRL</t>
  </si>
  <si>
    <t>CANARIO DIESEL</t>
  </si>
  <si>
    <t>COMPA MATERIAL MEDICO</t>
  </si>
  <si>
    <t>DRA. MIROPE B. SOSA A;LMANZAR</t>
  </si>
  <si>
    <t>NOTARIZACION DE CONTRATOS</t>
  </si>
  <si>
    <t>DISTRIUIDORA OXIMEGA SOTO</t>
  </si>
  <si>
    <t>ENDOSERV</t>
  </si>
  <si>
    <t>COMPRA DE MATERIALES MEDICOS</t>
  </si>
  <si>
    <t>FARMACIA SALIM</t>
  </si>
  <si>
    <t>COMPRA DE MEDICAMENTOS</t>
  </si>
  <si>
    <t xml:space="preserve">FRIFARMA </t>
  </si>
  <si>
    <t>FARACH</t>
  </si>
  <si>
    <t>G. E. ELECTROMECANICA</t>
  </si>
  <si>
    <t>ALQUILER MORGUE</t>
  </si>
  <si>
    <t>HOSPIFAR SRL</t>
  </si>
  <si>
    <t>HOSPAL MEDICA</t>
  </si>
  <si>
    <t>ING. VICTOR  SALOME</t>
  </si>
  <si>
    <t>OBRAS MENORES EN EDIFICACION</t>
  </si>
  <si>
    <t>COMPA MEDICAMENTOS</t>
  </si>
  <si>
    <t>IMPROFORMAS</t>
  </si>
  <si>
    <t>INDO-QUIMICA</t>
  </si>
  <si>
    <t>JCQ INGENIERIA EN ASCENSORES</t>
  </si>
  <si>
    <t>MANTENIMIENTOS DE ASCENSORES</t>
  </si>
  <si>
    <t>LUIS E. BETANCES R &amp; CO.</t>
  </si>
  <si>
    <t>MERCANTIL RAMI,SRL</t>
  </si>
  <si>
    <t>MALLEN</t>
  </si>
  <si>
    <t>OFALQUIP</t>
  </si>
  <si>
    <t xml:space="preserve">OSCAR A RENTA NEGRON </t>
  </si>
  <si>
    <t>COMPRA DE OXIGENO</t>
  </si>
  <si>
    <t>PHARMATECH</t>
  </si>
  <si>
    <t>COMPRA MATERIAL MEDICO</t>
  </si>
  <si>
    <t>COMPRA IMPRESORA</t>
  </si>
  <si>
    <t>MATERIALES MEDICO</t>
  </si>
  <si>
    <t>PLASTICOS VINALS</t>
  </si>
  <si>
    <t>PRO PHARMACEUTICAL</t>
  </si>
  <si>
    <t xml:space="preserve">QUIROFANOS LQ </t>
  </si>
  <si>
    <t>REFERENCIA LALBORATORIO</t>
  </si>
  <si>
    <t>ANALISIS A PACIENTES</t>
  </si>
  <si>
    <t>SEAN DOMINICAN</t>
  </si>
  <si>
    <t xml:space="preserve">SEMINSA S,A </t>
  </si>
  <si>
    <t>MANTENIMIENTO EQUIPO MEDICO</t>
  </si>
  <si>
    <t>SUED FARGESA</t>
  </si>
  <si>
    <t>TRANSPORTE FERNANDEZ JACQUEZ</t>
  </si>
  <si>
    <t>ALQUILER TRASPORTE</t>
  </si>
  <si>
    <t>GAS GLP</t>
  </si>
  <si>
    <t xml:space="preserve">  </t>
  </si>
  <si>
    <t xml:space="preserve"> DEUDA POR OBJETO DEL GASTO PERÍODO DICIEMBRE 2021</t>
  </si>
  <si>
    <t>TOTAL DEUDA</t>
  </si>
  <si>
    <t>Impresión, encuadernación y rotulacion</t>
  </si>
  <si>
    <t>Alquiler equipo de tecnología y almacenamiento de datos</t>
  </si>
  <si>
    <t>Alquiler equipo Transporte</t>
  </si>
  <si>
    <t>Otros Alquileres</t>
  </si>
  <si>
    <t>Mantenimiento y Reparación Obras Menores en Edificaciones</t>
  </si>
  <si>
    <t>Mantenimiento y reparación Equipo  de Oficina</t>
  </si>
  <si>
    <t>Mantenimiento y reparación equipos medico, sanitario y de laboratorio</t>
  </si>
  <si>
    <t>Servicios Funerarios y Gastos Conexos</t>
  </si>
  <si>
    <t>Higiene</t>
  </si>
  <si>
    <t>Servicios Juridicos</t>
  </si>
  <si>
    <t>Acabados Textiles</t>
  </si>
  <si>
    <t>Equipos de Tecnología de la Información y comunicación</t>
  </si>
  <si>
    <t>Muebles de Alojamiento</t>
  </si>
  <si>
    <t>Equipo de Comunicación, telecomunicaciones y señalización</t>
  </si>
  <si>
    <t>Glosa /DICIEMBRE 2021</t>
  </si>
  <si>
    <t xml:space="preserve">SIMAG COVID </t>
  </si>
  <si>
    <t xml:space="preserve">SEMMA COVID </t>
  </si>
  <si>
    <t xml:space="preserve">DEVOLUCION SEMMA </t>
  </si>
  <si>
    <t>Establecimientos:  ______CECANOT_____________________________________                 Mes:__________DICIEMBRE  2021_______</t>
  </si>
  <si>
    <t>B0100001127</t>
  </si>
  <si>
    <t>B0100001129</t>
  </si>
  <si>
    <t>B0100001118</t>
  </si>
  <si>
    <t>B0100001114</t>
  </si>
  <si>
    <t>B0100001115</t>
  </si>
  <si>
    <t>B0100001126</t>
  </si>
  <si>
    <t>B0100001123</t>
  </si>
  <si>
    <t>B0100001128</t>
  </si>
  <si>
    <t>B0100001117</t>
  </si>
  <si>
    <t>B0100001121</t>
  </si>
  <si>
    <t>B0100001122</t>
  </si>
  <si>
    <t>B0100001124</t>
  </si>
  <si>
    <t>ARS SIMAG COVID-19</t>
  </si>
  <si>
    <t>B0100001130</t>
  </si>
  <si>
    <t>B0100001119</t>
  </si>
  <si>
    <t>B0100001116</t>
  </si>
  <si>
    <t>B0100001120</t>
  </si>
  <si>
    <t>B1500001162</t>
  </si>
  <si>
    <t>B1500001163</t>
  </si>
  <si>
    <t>B0100001125</t>
  </si>
  <si>
    <t>B1500001164</t>
  </si>
  <si>
    <t xml:space="preserve">ARS  SEMMA DEVOLUCION </t>
  </si>
  <si>
    <t>B1500001165</t>
  </si>
  <si>
    <t>Monto total de cuentas por cobrar  al _31___de ____NOVIEMBRE____ del _____2021_  , Por ___________________________ 00/100(RD$)</t>
  </si>
  <si>
    <t>Dado a los __31____ dias del mes de______DICIEMBRE___2021</t>
  </si>
  <si>
    <t xml:space="preserve">DICIEMBRE </t>
  </si>
  <si>
    <t>SIMAG COVID-19</t>
  </si>
  <si>
    <t>ARS SEMMA DEVOLUCION</t>
  </si>
  <si>
    <t xml:space="preserve">SEGÚN CONSOLIDADO RECIBIERON POR VTA DE SERVICIO </t>
  </si>
  <si>
    <t>DEBEN REFLEJAR LOS BALANCES PENDIENTE QUE POSSEN LAS A.R.S</t>
  </si>
  <si>
    <t xml:space="preserve">EN LA MATRIZ DEUDA ESTOS SON LOS MONTOS </t>
  </si>
  <si>
    <t>QUE DEBE REFLEJAR ESTA MATRIZ.</t>
  </si>
  <si>
    <t>FALTAN INGRESOS</t>
  </si>
  <si>
    <t>Ejecución de Gastos  2021</t>
  </si>
  <si>
    <t>Preparada por: Karla Gomez</t>
  </si>
  <si>
    <t>Enc. Ejecución Presupuestal</t>
  </si>
  <si>
    <t xml:space="preserve">Revisada por: Francisco Villabrille </t>
  </si>
  <si>
    <t>Enc.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</si>
</sst>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* #,##0_);_(* \(#,##0\);_(* &quot;-&quot;??_);_(@_)"/>
    <numFmt numFmtId="166" formatCode="#,##0.00;[Red]#,##0.00"/>
  </numFmts>
  <fonts count="6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name val="Calibri Light"/>
      <family val="1"/>
      <scheme val="major"/>
    </font>
    <font>
      <sz val="10"/>
      <name val="Arial"/>
      <family val="2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indexed="8"/>
      <name val="Baskerville Old Face"/>
      <family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Baskerville Old Face"/>
      <family val="1"/>
    </font>
    <font>
      <b/>
      <sz val="10"/>
      <color indexed="8"/>
      <name val="Baskerville Old Face"/>
      <family val="1"/>
    </font>
    <font>
      <b/>
      <strike/>
      <sz val="12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mbria"/>
      <family val="1"/>
    </font>
    <font>
      <b/>
      <sz val="8"/>
      <name val="Cambria"/>
      <family val="1"/>
    </font>
    <font>
      <b/>
      <sz val="9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0000CC"/>
      <name val="Calibri"/>
      <family val="2"/>
      <scheme val="minor"/>
    </font>
    <font>
      <b/>
      <sz val="20"/>
      <color rgb="FF0000CC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8"/>
      <color rgb="FF0000CC"/>
      <name val="Calibri"/>
      <family val="2"/>
      <scheme val="minor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4"/>
      <name val="Times New Roman"/>
      <family val="1"/>
    </font>
    <font>
      <sz val="14"/>
      <name val="Calibri Light"/>
      <family val="1"/>
      <scheme val="major"/>
    </font>
    <font>
      <b/>
      <sz val="14"/>
      <name val="Calibri Light"/>
      <family val="1"/>
      <scheme val="major"/>
    </font>
    <font>
      <sz val="14"/>
      <color rgb="FFFF0000"/>
      <name val="Calibri Light"/>
      <family val="1"/>
      <scheme val="major"/>
    </font>
    <font>
      <sz val="14"/>
      <name val="Calibri Light"/>
      <family val="2"/>
      <scheme val="maj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Calibri Light"/>
      <family val="1"/>
      <scheme val="major"/>
    </font>
    <font>
      <b/>
      <sz val="14"/>
      <name val="Calibri Light"/>
      <family val="2"/>
      <scheme val="major"/>
    </font>
    <font>
      <sz val="18"/>
      <name val="Calibri Light"/>
      <family val="1"/>
      <scheme val="major"/>
    </font>
    <font>
      <b/>
      <sz val="22"/>
      <name val="Calibri Light"/>
      <family val="1"/>
      <scheme val="major"/>
    </font>
    <font>
      <b/>
      <sz val="10"/>
      <name val="Arial"/>
      <family val="2"/>
    </font>
    <font>
      <sz val="12"/>
      <name val="Calibri"/>
      <family val="2"/>
      <scheme val="minor"/>
    </font>
    <font>
      <sz val="14"/>
      <color theme="1"/>
      <name val="Calibri Light"/>
      <family val="1"/>
      <scheme val="maj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rgb="FFFF0000"/>
      <name val="Calibri"/>
      <family val="2"/>
    </font>
    <font>
      <sz val="10"/>
      <color indexed="8"/>
      <name val="MS Sans Serif"/>
      <family val="2"/>
    </font>
    <font>
      <sz val="9"/>
      <color rgb="FFFF0000"/>
      <name val="Times New Roman"/>
      <family val="1"/>
    </font>
    <font>
      <b/>
      <sz val="12"/>
      <name val="Calibri Light"/>
      <family val="2"/>
      <scheme val="maj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color rgb="FFC00000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" fillId="0" borderId="0"/>
    <xf numFmtId="43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</cellStyleXfs>
  <cellXfs count="512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1" fillId="0" borderId="1" xfId="0" applyFont="1" applyFill="1" applyBorder="1" applyAlignment="1">
      <alignment horizontal="left" vertical="center" wrapText="1"/>
    </xf>
    <xf numFmtId="43" fontId="1" fillId="0" borderId="1" xfId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 indent="2"/>
    </xf>
    <xf numFmtId="0" fontId="2" fillId="0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43" fontId="0" fillId="0" borderId="1" xfId="0" applyNumberFormat="1" applyFill="1" applyBorder="1"/>
    <xf numFmtId="0" fontId="1" fillId="5" borderId="1" xfId="0" applyFont="1" applyFill="1" applyBorder="1" applyAlignment="1">
      <alignment horizontal="left" vertical="center" wrapText="1"/>
    </xf>
    <xf numFmtId="43" fontId="1" fillId="5" borderId="1" xfId="1" applyFont="1" applyFill="1" applyBorder="1" applyAlignment="1">
      <alignment vertical="center" wrapText="1"/>
    </xf>
    <xf numFmtId="0" fontId="0" fillId="5" borderId="0" xfId="0" applyFill="1"/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1" xfId="1" applyFont="1" applyBorder="1"/>
    <xf numFmtId="43" fontId="1" fillId="0" borderId="1" xfId="1" applyFont="1" applyBorder="1" applyAlignment="1">
      <alignment vertical="center" wrapText="1"/>
    </xf>
    <xf numFmtId="0" fontId="0" fillId="0" borderId="1" xfId="0" applyBorder="1" applyAlignment="1">
      <alignment horizontal="left" vertical="center" wrapText="1" indent="2"/>
    </xf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5" fontId="0" fillId="0" borderId="1" xfId="0" applyNumberForma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5" borderId="1" xfId="1" applyFont="1" applyFill="1" applyBorder="1"/>
    <xf numFmtId="43" fontId="1" fillId="5" borderId="1" xfId="1" applyFont="1" applyFill="1" applyBorder="1" applyAlignment="1">
      <alignment wrapText="1"/>
    </xf>
    <xf numFmtId="43" fontId="1" fillId="0" borderId="1" xfId="1" applyFont="1" applyBorder="1"/>
    <xf numFmtId="43" fontId="1" fillId="5" borderId="1" xfId="1" applyFont="1" applyFill="1" applyBorder="1" applyAlignment="1">
      <alignment horizontal="right" wrapText="1"/>
    </xf>
    <xf numFmtId="43" fontId="1" fillId="0" borderId="1" xfId="1" applyFont="1" applyFill="1" applyBorder="1" applyAlignment="1">
      <alignment horizontal="right" wrapText="1"/>
    </xf>
    <xf numFmtId="43" fontId="1" fillId="0" borderId="1" xfId="1" applyFont="1" applyFill="1" applyBorder="1" applyAlignment="1">
      <alignment horizontal="right"/>
    </xf>
    <xf numFmtId="43" fontId="1" fillId="5" borderId="1" xfId="0" applyNumberFormat="1" applyFont="1" applyFill="1" applyBorder="1"/>
    <xf numFmtId="0" fontId="2" fillId="5" borderId="9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6" borderId="4" xfId="0" applyFont="1" applyFill="1" applyBorder="1"/>
    <xf numFmtId="0" fontId="0" fillId="0" borderId="1" xfId="0" applyBorder="1" applyAlignment="1">
      <alignment horizontal="center"/>
    </xf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44" fontId="0" fillId="0" borderId="0" xfId="0" applyNumberFormat="1"/>
    <xf numFmtId="14" fontId="0" fillId="0" borderId="1" xfId="0" applyNumberFormat="1" applyBorder="1"/>
    <xf numFmtId="0" fontId="1" fillId="0" borderId="1" xfId="0" applyFont="1" applyBorder="1"/>
    <xf numFmtId="0" fontId="1" fillId="10" borderId="25" xfId="0" applyFont="1" applyFill="1" applyBorder="1" applyAlignment="1">
      <alignment horizontal="center" vertical="center" wrapText="1"/>
    </xf>
    <xf numFmtId="0" fontId="1" fillId="10" borderId="25" xfId="0" applyFont="1" applyFill="1" applyBorder="1" applyAlignment="1">
      <alignment horizontal="center" vertical="center"/>
    </xf>
    <xf numFmtId="0" fontId="1" fillId="10" borderId="26" xfId="0" applyFont="1" applyFill="1" applyBorder="1" applyAlignment="1">
      <alignment horizontal="center" vertical="center"/>
    </xf>
    <xf numFmtId="43" fontId="1" fillId="0" borderId="1" xfId="0" applyNumberFormat="1" applyFont="1" applyBorder="1"/>
    <xf numFmtId="0" fontId="1" fillId="0" borderId="23" xfId="0" applyFont="1" applyBorder="1" applyAlignment="1">
      <alignment vertical="center" wrapText="1"/>
    </xf>
    <xf numFmtId="43" fontId="0" fillId="0" borderId="1" xfId="0" applyNumberFormat="1" applyBorder="1"/>
    <xf numFmtId="43" fontId="0" fillId="0" borderId="0" xfId="0" applyNumberFormat="1"/>
    <xf numFmtId="43" fontId="0" fillId="0" borderId="5" xfId="4" applyFont="1" applyBorder="1"/>
    <xf numFmtId="43" fontId="0" fillId="9" borderId="1" xfId="4" applyFont="1" applyFill="1" applyBorder="1"/>
    <xf numFmtId="0" fontId="1" fillId="10" borderId="29" xfId="0" applyFont="1" applyFill="1" applyBorder="1" applyAlignment="1">
      <alignment horizontal="center" vertical="center"/>
    </xf>
    <xf numFmtId="0" fontId="1" fillId="10" borderId="30" xfId="0" applyFont="1" applyFill="1" applyBorder="1" applyAlignment="1">
      <alignment horizontal="center" vertical="center" wrapText="1"/>
    </xf>
    <xf numFmtId="0" fontId="9" fillId="0" borderId="0" xfId="3"/>
    <xf numFmtId="0" fontId="12" fillId="0" borderId="0" xfId="3" applyFont="1"/>
    <xf numFmtId="9" fontId="12" fillId="0" borderId="0" xfId="3" applyNumberFormat="1" applyFont="1"/>
    <xf numFmtId="9" fontId="13" fillId="9" borderId="1" xfId="2" applyFont="1" applyFill="1" applyBorder="1" applyAlignment="1">
      <alignment vertical="top"/>
    </xf>
    <xf numFmtId="166" fontId="13" fillId="11" borderId="1" xfId="4" applyNumberFormat="1" applyFont="1" applyFill="1" applyBorder="1" applyAlignment="1">
      <alignment vertical="top"/>
    </xf>
    <xf numFmtId="166" fontId="14" fillId="11" borderId="1" xfId="4" applyNumberFormat="1" applyFont="1" applyFill="1" applyBorder="1" applyAlignment="1">
      <alignment vertical="top"/>
    </xf>
    <xf numFmtId="0" fontId="13" fillId="11" borderId="1" xfId="3" applyFont="1" applyFill="1" applyBorder="1" applyAlignment="1">
      <alignment vertical="top" wrapText="1"/>
    </xf>
    <xf numFmtId="0" fontId="13" fillId="11" borderId="1" xfId="3" applyFont="1" applyFill="1" applyBorder="1" applyAlignment="1">
      <alignment horizontal="center" vertical="top"/>
    </xf>
    <xf numFmtId="0" fontId="13" fillId="11" borderId="1" xfId="3" applyFont="1" applyFill="1" applyBorder="1" applyAlignment="1">
      <alignment vertical="top"/>
    </xf>
    <xf numFmtId="9" fontId="13" fillId="12" borderId="1" xfId="2" applyFont="1" applyFill="1" applyBorder="1" applyAlignment="1">
      <alignment vertical="top"/>
    </xf>
    <xf numFmtId="166" fontId="13" fillId="12" borderId="1" xfId="4" applyNumberFormat="1" applyFont="1" applyFill="1" applyBorder="1" applyAlignment="1">
      <alignment vertical="top"/>
    </xf>
    <xf numFmtId="0" fontId="13" fillId="12" borderId="1" xfId="3" applyFont="1" applyFill="1" applyBorder="1" applyAlignment="1">
      <alignment vertical="top" wrapText="1"/>
    </xf>
    <xf numFmtId="0" fontId="14" fillId="12" borderId="1" xfId="3" applyFont="1" applyFill="1" applyBorder="1" applyAlignment="1">
      <alignment horizontal="center" vertical="top"/>
    </xf>
    <xf numFmtId="0" fontId="13" fillId="12" borderId="1" xfId="3" applyFont="1" applyFill="1" applyBorder="1" applyAlignment="1">
      <alignment horizontal="center" vertical="top"/>
    </xf>
    <xf numFmtId="0" fontId="13" fillId="12" borderId="1" xfId="3" applyFont="1" applyFill="1" applyBorder="1" applyAlignment="1">
      <alignment vertical="top"/>
    </xf>
    <xf numFmtId="0" fontId="13" fillId="11" borderId="1" xfId="3" applyFont="1" applyFill="1" applyBorder="1"/>
    <xf numFmtId="0" fontId="13" fillId="12" borderId="1" xfId="3" applyFont="1" applyFill="1" applyBorder="1"/>
    <xf numFmtId="9" fontId="14" fillId="13" borderId="1" xfId="2" applyFont="1" applyFill="1" applyBorder="1" applyAlignment="1">
      <alignment vertical="top"/>
    </xf>
    <xf numFmtId="166" fontId="14" fillId="13" borderId="1" xfId="4" applyNumberFormat="1" applyFont="1" applyFill="1" applyBorder="1" applyAlignment="1">
      <alignment vertical="top"/>
    </xf>
    <xf numFmtId="0" fontId="14" fillId="13" borderId="1" xfId="3" applyFont="1" applyFill="1" applyBorder="1" applyAlignment="1">
      <alignment vertical="top" wrapText="1"/>
    </xf>
    <xf numFmtId="0" fontId="14" fillId="13" borderId="1" xfId="3" applyFont="1" applyFill="1" applyBorder="1" applyAlignment="1">
      <alignment horizontal="center" vertical="top"/>
    </xf>
    <xf numFmtId="0" fontId="14" fillId="13" borderId="1" xfId="3" applyFont="1" applyFill="1" applyBorder="1"/>
    <xf numFmtId="0" fontId="13" fillId="11" borderId="1" xfId="3" quotePrefix="1" applyFont="1" applyFill="1" applyBorder="1" applyAlignment="1">
      <alignment horizontal="center" vertical="top"/>
    </xf>
    <xf numFmtId="166" fontId="13" fillId="0" borderId="1" xfId="4" applyNumberFormat="1" applyFont="1" applyFill="1" applyBorder="1" applyAlignment="1">
      <alignment vertical="top"/>
    </xf>
    <xf numFmtId="0" fontId="13" fillId="13" borderId="1" xfId="3" applyFont="1" applyFill="1" applyBorder="1" applyAlignment="1">
      <alignment horizontal="center" vertical="top"/>
    </xf>
    <xf numFmtId="0" fontId="14" fillId="13" borderId="1" xfId="3" applyFont="1" applyFill="1" applyBorder="1" applyAlignment="1">
      <alignment vertical="top"/>
    </xf>
    <xf numFmtId="0" fontId="14" fillId="13" borderId="1" xfId="3" applyFont="1" applyFill="1" applyBorder="1" applyAlignment="1">
      <alignment horizontal="left" vertical="top"/>
    </xf>
    <xf numFmtId="0" fontId="14" fillId="13" borderId="1" xfId="3" applyFont="1" applyFill="1" applyBorder="1" applyAlignment="1">
      <alignment horizontal="right" vertical="top"/>
    </xf>
    <xf numFmtId="0" fontId="13" fillId="11" borderId="1" xfId="3" applyFont="1" applyFill="1" applyBorder="1" applyAlignment="1">
      <alignment horizontal="justify" vertical="top" wrapText="1"/>
    </xf>
    <xf numFmtId="0" fontId="13" fillId="11" borderId="1" xfId="3" applyFont="1" applyFill="1" applyBorder="1" applyAlignment="1">
      <alignment wrapText="1"/>
    </xf>
    <xf numFmtId="0" fontId="14" fillId="13" borderId="1" xfId="3" applyFont="1" applyFill="1" applyBorder="1" applyAlignment="1">
      <alignment wrapText="1"/>
    </xf>
    <xf numFmtId="0" fontId="14" fillId="13" borderId="1" xfId="3" applyFont="1" applyFill="1" applyBorder="1" applyAlignment="1">
      <alignment horizontal="center"/>
    </xf>
    <xf numFmtId="166" fontId="14" fillId="13" borderId="36" xfId="4" applyNumberFormat="1" applyFont="1" applyFill="1" applyBorder="1" applyAlignment="1">
      <alignment vertical="top"/>
    </xf>
    <xf numFmtId="0" fontId="14" fillId="13" borderId="36" xfId="3" applyFont="1" applyFill="1" applyBorder="1" applyAlignment="1">
      <alignment vertical="top"/>
    </xf>
    <xf numFmtId="0" fontId="14" fillId="13" borderId="36" xfId="3" applyFont="1" applyFill="1" applyBorder="1" applyAlignment="1">
      <alignment horizontal="center" vertical="top"/>
    </xf>
    <xf numFmtId="0" fontId="15" fillId="13" borderId="36" xfId="3" applyFont="1" applyFill="1" applyBorder="1" applyAlignment="1">
      <alignment vertical="top"/>
    </xf>
    <xf numFmtId="9" fontId="16" fillId="14" borderId="5" xfId="2" applyFont="1" applyFill="1" applyBorder="1" applyAlignment="1">
      <alignment vertical="top"/>
    </xf>
    <xf numFmtId="166" fontId="16" fillId="14" borderId="37" xfId="4" applyNumberFormat="1" applyFont="1" applyFill="1" applyBorder="1" applyAlignment="1">
      <alignment vertical="top"/>
    </xf>
    <xf numFmtId="0" fontId="16" fillId="14" borderId="37" xfId="3" applyFont="1" applyFill="1" applyBorder="1" applyAlignment="1">
      <alignment vertical="top"/>
    </xf>
    <xf numFmtId="0" fontId="16" fillId="14" borderId="37" xfId="3" applyFont="1" applyFill="1" applyBorder="1" applyAlignment="1">
      <alignment horizontal="center" vertical="top"/>
    </xf>
    <xf numFmtId="0" fontId="17" fillId="14" borderId="37" xfId="3" applyFont="1" applyFill="1" applyBorder="1" applyAlignment="1">
      <alignment vertical="top"/>
    </xf>
    <xf numFmtId="0" fontId="23" fillId="16" borderId="1" xfId="3" applyFont="1" applyFill="1" applyBorder="1" applyAlignment="1">
      <alignment horizontal="center"/>
    </xf>
    <xf numFmtId="0" fontId="14" fillId="9" borderId="38" xfId="3" applyFont="1" applyFill="1" applyBorder="1" applyAlignment="1">
      <alignment horizontal="center"/>
    </xf>
    <xf numFmtId="0" fontId="14" fillId="9" borderId="0" xfId="3" applyFont="1" applyFill="1" applyAlignment="1">
      <alignment horizontal="center"/>
    </xf>
    <xf numFmtId="0" fontId="14" fillId="9" borderId="28" xfId="3" applyFont="1" applyFill="1" applyBorder="1" applyAlignment="1">
      <alignment horizontal="center"/>
    </xf>
    <xf numFmtId="4" fontId="24" fillId="17" borderId="0" xfId="3" applyNumberFormat="1" applyFont="1" applyFill="1"/>
    <xf numFmtId="4" fontId="25" fillId="17" borderId="0" xfId="3" applyNumberFormat="1" applyFont="1" applyFill="1"/>
    <xf numFmtId="0" fontId="24" fillId="17" borderId="0" xfId="3" applyFont="1" applyFill="1"/>
    <xf numFmtId="0" fontId="25" fillId="17" borderId="0" xfId="3" applyFont="1" applyFill="1"/>
    <xf numFmtId="4" fontId="25" fillId="17" borderId="0" xfId="3" applyNumberFormat="1" applyFont="1" applyFill="1" applyAlignment="1">
      <alignment horizontal="left"/>
    </xf>
    <xf numFmtId="0" fontId="24" fillId="17" borderId="28" xfId="3" applyFont="1" applyFill="1" applyBorder="1"/>
    <xf numFmtId="4" fontId="26" fillId="11" borderId="0" xfId="3" applyNumberFormat="1" applyFont="1" applyFill="1" applyAlignment="1">
      <alignment horizontal="center"/>
    </xf>
    <xf numFmtId="4" fontId="14" fillId="11" borderId="0" xfId="3" applyNumberFormat="1" applyFont="1" applyFill="1" applyAlignment="1">
      <alignment horizontal="center"/>
    </xf>
    <xf numFmtId="4" fontId="25" fillId="11" borderId="0" xfId="3" applyNumberFormat="1" applyFont="1" applyFill="1" applyAlignment="1">
      <alignment horizontal="left" indent="11"/>
    </xf>
    <xf numFmtId="0" fontId="24" fillId="11" borderId="0" xfId="3" applyFont="1" applyFill="1"/>
    <xf numFmtId="0" fontId="24" fillId="11" borderId="28" xfId="3" applyFont="1" applyFill="1" applyBorder="1"/>
    <xf numFmtId="4" fontId="26" fillId="11" borderId="24" xfId="3" applyNumberFormat="1" applyFont="1" applyFill="1" applyBorder="1"/>
    <xf numFmtId="0" fontId="14" fillId="0" borderId="0" xfId="3" applyFont="1"/>
    <xf numFmtId="43" fontId="14" fillId="0" borderId="0" xfId="4" applyFont="1" applyBorder="1" applyAlignment="1">
      <alignment horizontal="left"/>
    </xf>
    <xf numFmtId="4" fontId="26" fillId="11" borderId="39" xfId="3" applyNumberFormat="1" applyFont="1" applyFill="1" applyBorder="1"/>
    <xf numFmtId="4" fontId="14" fillId="11" borderId="0" xfId="3" applyNumberFormat="1" applyFont="1" applyFill="1" applyAlignment="1">
      <alignment horizontal="left" indent="11"/>
    </xf>
    <xf numFmtId="4" fontId="26" fillId="11" borderId="0" xfId="3" applyNumberFormat="1" applyFont="1" applyFill="1"/>
    <xf numFmtId="4" fontId="14" fillId="11" borderId="0" xfId="3" applyNumberFormat="1" applyFont="1" applyFill="1" applyAlignment="1">
      <alignment horizontal="left" indent="2"/>
    </xf>
    <xf numFmtId="4" fontId="26" fillId="11" borderId="3" xfId="3" applyNumberFormat="1" applyFont="1" applyFill="1" applyBorder="1"/>
    <xf numFmtId="4" fontId="15" fillId="11" borderId="0" xfId="3" applyNumberFormat="1" applyFont="1" applyFill="1" applyAlignment="1">
      <alignment horizontal="left" indent="2"/>
    </xf>
    <xf numFmtId="4" fontId="14" fillId="11" borderId="0" xfId="3" applyNumberFormat="1" applyFont="1" applyFill="1" applyAlignment="1">
      <alignment horizontal="left" indent="3"/>
    </xf>
    <xf numFmtId="4" fontId="27" fillId="11" borderId="0" xfId="3" applyNumberFormat="1" applyFont="1" applyFill="1" applyAlignment="1">
      <alignment horizontal="left" indent="2"/>
    </xf>
    <xf numFmtId="0" fontId="26" fillId="11" borderId="0" xfId="3" applyFont="1" applyFill="1"/>
    <xf numFmtId="0" fontId="14" fillId="11" borderId="0" xfId="3" applyFont="1" applyFill="1" applyAlignment="1">
      <alignment horizontal="left" indent="3"/>
    </xf>
    <xf numFmtId="0" fontId="25" fillId="17" borderId="38" xfId="3" applyFont="1" applyFill="1" applyBorder="1" applyAlignment="1">
      <alignment horizontal="left"/>
    </xf>
    <xf numFmtId="0" fontId="25" fillId="17" borderId="0" xfId="3" applyFont="1" applyFill="1" applyAlignment="1">
      <alignment horizontal="left"/>
    </xf>
    <xf numFmtId="0" fontId="25" fillId="17" borderId="28" xfId="3" applyFont="1" applyFill="1" applyBorder="1" applyAlignment="1">
      <alignment horizontal="left"/>
    </xf>
    <xf numFmtId="0" fontId="31" fillId="9" borderId="38" xfId="3" applyFont="1" applyFill="1" applyBorder="1"/>
    <xf numFmtId="0" fontId="31" fillId="9" borderId="0" xfId="3" applyFont="1" applyFill="1"/>
    <xf numFmtId="0" fontId="31" fillId="9" borderId="40" xfId="3" applyFont="1" applyFill="1" applyBorder="1"/>
    <xf numFmtId="0" fontId="31" fillId="9" borderId="39" xfId="3" applyFont="1" applyFill="1" applyBorder="1"/>
    <xf numFmtId="0" fontId="13" fillId="9" borderId="39" xfId="3" applyFont="1" applyFill="1" applyBorder="1"/>
    <xf numFmtId="0" fontId="13" fillId="9" borderId="41" xfId="3" applyFont="1" applyFill="1" applyBorder="1"/>
    <xf numFmtId="0" fontId="33" fillId="0" borderId="0" xfId="0" applyFont="1" applyAlignment="1">
      <alignment horizontal="left"/>
    </xf>
    <xf numFmtId="0" fontId="37" fillId="18" borderId="5" xfId="3" applyFont="1" applyFill="1" applyBorder="1" applyAlignment="1">
      <alignment horizontal="center" vertical="center" wrapText="1"/>
    </xf>
    <xf numFmtId="43" fontId="0" fillId="0" borderId="0" xfId="1" applyFont="1"/>
    <xf numFmtId="0" fontId="40" fillId="0" borderId="0" xfId="3" applyFont="1" applyAlignment="1">
      <alignment horizontal="left"/>
    </xf>
    <xf numFmtId="0" fontId="40" fillId="0" borderId="0" xfId="3" applyFont="1"/>
    <xf numFmtId="43" fontId="40" fillId="0" borderId="0" xfId="1" applyFont="1" applyFill="1" applyBorder="1" applyAlignment="1"/>
    <xf numFmtId="17" fontId="40" fillId="0" borderId="0" xfId="3" applyNumberFormat="1" applyFont="1" applyAlignment="1">
      <alignment horizontal="left"/>
    </xf>
    <xf numFmtId="43" fontId="40" fillId="0" borderId="0" xfId="6" applyFont="1" applyFill="1" applyBorder="1" applyAlignment="1"/>
    <xf numFmtId="0" fontId="41" fillId="0" borderId="0" xfId="3" applyFont="1" applyAlignment="1">
      <alignment horizontal="left" vertical="center"/>
    </xf>
    <xf numFmtId="0" fontId="41" fillId="0" borderId="0" xfId="3" applyFont="1" applyAlignment="1">
      <alignment horizontal="center" vertical="center"/>
    </xf>
    <xf numFmtId="43" fontId="41" fillId="0" borderId="0" xfId="1" applyFont="1" applyFill="1" applyBorder="1" applyAlignment="1">
      <alignment horizontal="center" vertical="center"/>
    </xf>
    <xf numFmtId="0" fontId="41" fillId="0" borderId="0" xfId="3" applyFont="1" applyAlignment="1">
      <alignment horizontal="left"/>
    </xf>
    <xf numFmtId="43" fontId="41" fillId="0" borderId="0" xfId="3" applyNumberFormat="1" applyFont="1"/>
    <xf numFmtId="17" fontId="42" fillId="0" borderId="0" xfId="3" applyNumberFormat="1" applyFont="1" applyAlignment="1">
      <alignment horizontal="left"/>
    </xf>
    <xf numFmtId="0" fontId="42" fillId="0" borderId="0" xfId="3" applyFont="1"/>
    <xf numFmtId="43" fontId="42" fillId="0" borderId="0" xfId="1" applyFont="1" applyFill="1" applyBorder="1" applyAlignment="1"/>
    <xf numFmtId="43" fontId="42" fillId="0" borderId="0" xfId="3" applyNumberFormat="1" applyFont="1"/>
    <xf numFmtId="43" fontId="42" fillId="0" borderId="0" xfId="6" applyFont="1" applyFill="1" applyBorder="1" applyAlignment="1"/>
    <xf numFmtId="43" fontId="40" fillId="0" borderId="0" xfId="3" applyNumberFormat="1" applyFont="1"/>
    <xf numFmtId="43" fontId="41" fillId="9" borderId="0" xfId="3" applyNumberFormat="1" applyFont="1" applyFill="1" applyAlignment="1">
      <alignment horizontal="center" vertical="center"/>
    </xf>
    <xf numFmtId="43" fontId="41" fillId="9" borderId="0" xfId="1" applyFont="1" applyFill="1" applyBorder="1" applyAlignment="1">
      <alignment horizontal="center" vertical="center"/>
    </xf>
    <xf numFmtId="0" fontId="41" fillId="9" borderId="0" xfId="3" applyFont="1" applyFill="1" applyAlignment="1">
      <alignment horizontal="center" vertical="center"/>
    </xf>
    <xf numFmtId="43" fontId="41" fillId="18" borderId="1" xfId="3" applyNumberFormat="1" applyFont="1" applyFill="1" applyBorder="1" applyAlignment="1">
      <alignment horizontal="center" vertical="center"/>
    </xf>
    <xf numFmtId="43" fontId="41" fillId="18" borderId="1" xfId="1" applyFont="1" applyFill="1" applyBorder="1" applyAlignment="1">
      <alignment horizontal="center" vertical="center"/>
    </xf>
    <xf numFmtId="43" fontId="41" fillId="8" borderId="1" xfId="6" applyFont="1" applyFill="1" applyBorder="1" applyAlignment="1"/>
    <xf numFmtId="43" fontId="41" fillId="8" borderId="1" xfId="3" applyNumberFormat="1" applyFont="1" applyFill="1" applyBorder="1" applyAlignment="1">
      <alignment horizontal="center" vertical="center"/>
    </xf>
    <xf numFmtId="43" fontId="41" fillId="8" borderId="1" xfId="1" applyFont="1" applyFill="1" applyBorder="1" applyAlignment="1">
      <alignment horizontal="center" vertical="center"/>
    </xf>
    <xf numFmtId="43" fontId="41" fillId="8" borderId="1" xfId="3" applyNumberFormat="1" applyFont="1" applyFill="1" applyBorder="1" applyAlignment="1">
      <alignment vertical="center"/>
    </xf>
    <xf numFmtId="43" fontId="40" fillId="0" borderId="1" xfId="6" applyFont="1" applyFill="1" applyBorder="1" applyAlignment="1"/>
    <xf numFmtId="43" fontId="40" fillId="0" borderId="1" xfId="1" applyFont="1" applyFill="1" applyBorder="1" applyAlignment="1">
      <alignment horizontal="left" vertical="center"/>
    </xf>
    <xf numFmtId="43" fontId="40" fillId="0" borderId="1" xfId="1" applyFont="1" applyFill="1" applyBorder="1" applyAlignment="1">
      <alignment vertical="center"/>
    </xf>
    <xf numFmtId="0" fontId="40" fillId="0" borderId="1" xfId="3" applyFont="1" applyBorder="1" applyAlignment="1">
      <alignment horizontal="left" vertical="center"/>
    </xf>
    <xf numFmtId="0" fontId="40" fillId="0" borderId="1" xfId="3" applyFont="1" applyBorder="1" applyAlignment="1">
      <alignment horizontal="center"/>
    </xf>
    <xf numFmtId="43" fontId="41" fillId="0" borderId="1" xfId="1" applyFont="1" applyFill="1" applyBorder="1" applyAlignment="1">
      <alignment horizontal="center"/>
    </xf>
    <xf numFmtId="43" fontId="40" fillId="0" borderId="1" xfId="1" applyFont="1" applyFill="1" applyBorder="1" applyAlignment="1"/>
    <xf numFmtId="43" fontId="39" fillId="0" borderId="1" xfId="6" applyFont="1" applyFill="1" applyBorder="1" applyAlignment="1"/>
    <xf numFmtId="43" fontId="43" fillId="0" borderId="1" xfId="6" applyFont="1" applyFill="1" applyBorder="1" applyAlignment="1">
      <alignment horizontal="center"/>
    </xf>
    <xf numFmtId="43" fontId="40" fillId="0" borderId="1" xfId="3" applyNumberFormat="1" applyFont="1" applyBorder="1" applyAlignment="1">
      <alignment horizontal="left" vertical="center"/>
    </xf>
    <xf numFmtId="43" fontId="40" fillId="0" borderId="1" xfId="3" applyNumberFormat="1" applyFont="1" applyBorder="1" applyAlignment="1">
      <alignment vertical="center"/>
    </xf>
    <xf numFmtId="43" fontId="44" fillId="9" borderId="1" xfId="1" applyFont="1" applyFill="1" applyBorder="1" applyAlignment="1">
      <alignment horizontal="center" wrapText="1"/>
    </xf>
    <xf numFmtId="0" fontId="41" fillId="19" borderId="1" xfId="3" applyFont="1" applyFill="1" applyBorder="1" applyAlignment="1">
      <alignment horizontal="center" vertical="center"/>
    </xf>
    <xf numFmtId="43" fontId="9" fillId="0" borderId="0" xfId="1" applyFont="1"/>
    <xf numFmtId="0" fontId="9" fillId="0" borderId="0" xfId="3" applyAlignment="1">
      <alignment horizontal="center"/>
    </xf>
    <xf numFmtId="43" fontId="45" fillId="0" borderId="0" xfId="0" applyNumberFormat="1" applyFont="1"/>
    <xf numFmtId="0" fontId="45" fillId="0" borderId="0" xfId="0" applyFont="1"/>
    <xf numFmtId="43" fontId="45" fillId="0" borderId="0" xfId="1" applyFont="1"/>
    <xf numFmtId="0" fontId="46" fillId="0" borderId="0" xfId="3" applyFont="1" applyAlignment="1">
      <alignment horizontal="left"/>
    </xf>
    <xf numFmtId="0" fontId="46" fillId="0" borderId="0" xfId="3" applyFont="1"/>
    <xf numFmtId="43" fontId="38" fillId="0" borderId="0" xfId="1" applyFont="1" applyFill="1" applyAlignment="1"/>
    <xf numFmtId="0" fontId="38" fillId="0" borderId="0" xfId="3" applyFont="1"/>
    <xf numFmtId="0" fontId="19" fillId="16" borderId="1" xfId="3" applyFont="1" applyFill="1" applyBorder="1" applyAlignment="1">
      <alignment horizontal="center"/>
    </xf>
    <xf numFmtId="4" fontId="9" fillId="0" borderId="0" xfId="3" applyNumberFormat="1"/>
    <xf numFmtId="4" fontId="26" fillId="11" borderId="0" xfId="3" applyNumberFormat="1" applyFont="1" applyFill="1" applyBorder="1" applyAlignment="1">
      <alignment horizontal="center"/>
    </xf>
    <xf numFmtId="4" fontId="15" fillId="17" borderId="0" xfId="3" applyNumberFormat="1" applyFont="1" applyFill="1" applyBorder="1"/>
    <xf numFmtId="166" fontId="9" fillId="0" borderId="0" xfId="3" applyNumberFormat="1"/>
    <xf numFmtId="166" fontId="50" fillId="0" borderId="0" xfId="3" applyNumberFormat="1" applyFont="1"/>
    <xf numFmtId="166" fontId="14" fillId="12" borderId="1" xfId="4" applyNumberFormat="1" applyFont="1" applyFill="1" applyBorder="1" applyAlignment="1">
      <alignment vertical="top"/>
    </xf>
    <xf numFmtId="0" fontId="13" fillId="0" borderId="1" xfId="3" applyFont="1" applyFill="1" applyBorder="1"/>
    <xf numFmtId="0" fontId="13" fillId="0" borderId="1" xfId="3" applyFont="1" applyFill="1" applyBorder="1" applyAlignment="1">
      <alignment horizontal="center" vertical="top"/>
    </xf>
    <xf numFmtId="0" fontId="13" fillId="0" borderId="1" xfId="3" applyFont="1" applyFill="1" applyBorder="1" applyAlignment="1">
      <alignment vertical="top" wrapText="1"/>
    </xf>
    <xf numFmtId="0" fontId="12" fillId="0" borderId="24" xfId="3" applyFont="1" applyBorder="1" applyAlignment="1">
      <alignment horizontal="center"/>
    </xf>
    <xf numFmtId="0" fontId="12" fillId="0" borderId="24" xfId="3" applyFont="1" applyBorder="1"/>
    <xf numFmtId="0" fontId="12" fillId="0" borderId="0" xfId="3" applyFont="1" applyAlignment="1">
      <alignment horizontal="center"/>
    </xf>
    <xf numFmtId="43" fontId="0" fillId="0" borderId="1" xfId="1" applyFont="1" applyFill="1" applyBorder="1"/>
    <xf numFmtId="43" fontId="10" fillId="0" borderId="1" xfId="1" applyFont="1" applyFill="1" applyBorder="1"/>
    <xf numFmtId="0" fontId="6" fillId="0" borderId="0" xfId="0" applyFont="1" applyAlignment="1">
      <alignment horizontal="left"/>
    </xf>
    <xf numFmtId="43" fontId="52" fillId="0" borderId="1" xfId="1" applyFont="1" applyFill="1" applyBorder="1" applyAlignment="1">
      <alignment horizontal="left" vertical="center"/>
    </xf>
    <xf numFmtId="0" fontId="0" fillId="0" borderId="1" xfId="0" applyNumberFormat="1" applyBorder="1"/>
    <xf numFmtId="49" fontId="0" fillId="0" borderId="1" xfId="0" applyNumberFormat="1" applyBorder="1" applyAlignment="1">
      <alignment horizontal="right"/>
    </xf>
    <xf numFmtId="0" fontId="0" fillId="0" borderId="1" xfId="0" applyNumberFormat="1" applyFont="1" applyBorder="1"/>
    <xf numFmtId="43" fontId="10" fillId="0" borderId="1" xfId="1" applyFont="1" applyFill="1" applyBorder="1" applyAlignment="1">
      <alignment horizontal="right"/>
    </xf>
    <xf numFmtId="0" fontId="0" fillId="0" borderId="1" xfId="0" applyNumberFormat="1" applyFont="1" applyFill="1" applyBorder="1"/>
    <xf numFmtId="43" fontId="1" fillId="0" borderId="0" xfId="0" applyNumberFormat="1" applyFont="1" applyAlignment="1">
      <alignment horizontal="center"/>
    </xf>
    <xf numFmtId="0" fontId="40" fillId="0" borderId="1" xfId="3" applyFont="1" applyFill="1" applyBorder="1" applyAlignment="1">
      <alignment horizontal="left" vertical="center"/>
    </xf>
    <xf numFmtId="43" fontId="41" fillId="0" borderId="0" xfId="1" applyFont="1" applyAlignment="1">
      <alignment horizontal="center" vertical="center"/>
    </xf>
    <xf numFmtId="43" fontId="0" fillId="0" borderId="0" xfId="0" applyNumberFormat="1" applyAlignment="1">
      <alignment horizontal="left" wrapText="1"/>
    </xf>
    <xf numFmtId="4" fontId="14" fillId="9" borderId="38" xfId="3" applyNumberFormat="1" applyFont="1" applyFill="1" applyBorder="1" applyAlignment="1">
      <alignment horizontal="center"/>
    </xf>
    <xf numFmtId="4" fontId="15" fillId="11" borderId="24" xfId="3" applyNumberFormat="1" applyFont="1" applyFill="1" applyBorder="1"/>
    <xf numFmtId="4" fontId="51" fillId="0" borderId="1" xfId="4" applyNumberFormat="1" applyFont="1" applyFill="1" applyBorder="1" applyAlignment="1">
      <alignment horizontal="center" vertical="center" wrapText="1"/>
    </xf>
    <xf numFmtId="4" fontId="51" fillId="0" borderId="1" xfId="4" applyNumberFormat="1" applyFont="1" applyFill="1" applyBorder="1" applyAlignment="1">
      <alignment horizontal="center" vertical="center"/>
    </xf>
    <xf numFmtId="43" fontId="0" fillId="0" borderId="0" xfId="0" applyNumberFormat="1" applyAlignment="1">
      <alignment horizontal="left"/>
    </xf>
    <xf numFmtId="43" fontId="41" fillId="8" borderId="1" xfId="1" applyFont="1" applyFill="1" applyBorder="1" applyAlignment="1">
      <alignment horizontal="left" vertical="center"/>
    </xf>
    <xf numFmtId="43" fontId="10" fillId="0" borderId="0" xfId="1" applyFont="1" applyFill="1" applyBorder="1" applyAlignment="1" applyProtection="1">
      <alignment horizontal="right"/>
    </xf>
    <xf numFmtId="3" fontId="36" fillId="9" borderId="0" xfId="3" applyNumberFormat="1" applyFont="1" applyFill="1" applyAlignment="1">
      <alignment horizontal="center" vertical="center"/>
    </xf>
    <xf numFmtId="14" fontId="0" fillId="0" borderId="2" xfId="0" applyNumberFormat="1" applyFill="1" applyBorder="1"/>
    <xf numFmtId="43" fontId="0" fillId="0" borderId="1" xfId="4" applyFont="1" applyFill="1" applyBorder="1"/>
    <xf numFmtId="0" fontId="35" fillId="0" borderId="0" xfId="0" applyFont="1"/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33" fillId="18" borderId="1" xfId="0" applyFont="1" applyFill="1" applyBorder="1" applyAlignment="1">
      <alignment horizontal="center" vertical="center"/>
    </xf>
    <xf numFmtId="0" fontId="33" fillId="18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wrapText="1"/>
    </xf>
    <xf numFmtId="0" fontId="1" fillId="7" borderId="0" xfId="0" applyFont="1" applyFill="1" applyAlignment="1">
      <alignment horizontal="center" vertical="center" wrapText="1"/>
    </xf>
    <xf numFmtId="0" fontId="0" fillId="7" borderId="0" xfId="0" applyFill="1"/>
    <xf numFmtId="4" fontId="58" fillId="0" borderId="1" xfId="0" applyNumberFormat="1" applyFont="1" applyFill="1" applyBorder="1" applyAlignment="1">
      <alignment horizontal="right"/>
    </xf>
    <xf numFmtId="14" fontId="0" fillId="0" borderId="2" xfId="0" applyNumberFormat="1" applyFill="1" applyBorder="1" applyAlignment="1">
      <alignment horizontal="center"/>
    </xf>
    <xf numFmtId="0" fontId="52" fillId="0" borderId="1" xfId="0" applyNumberFormat="1" applyFont="1" applyBorder="1"/>
    <xf numFmtId="0" fontId="51" fillId="0" borderId="45" xfId="0" applyFont="1" applyFill="1" applyBorder="1" applyAlignment="1">
      <alignment horizontal="left" vertical="center" wrapText="1" readingOrder="1"/>
    </xf>
    <xf numFmtId="4" fontId="54" fillId="18" borderId="7" xfId="0" applyNumberFormat="1" applyFont="1" applyFill="1" applyBorder="1" applyAlignment="1">
      <alignment horizontal="right"/>
    </xf>
    <xf numFmtId="4" fontId="51" fillId="18" borderId="1" xfId="4" applyNumberFormat="1" applyFont="1" applyFill="1" applyBorder="1" applyAlignment="1">
      <alignment horizontal="center" vertical="center"/>
    </xf>
    <xf numFmtId="4" fontId="53" fillId="0" borderId="1" xfId="0" applyNumberFormat="1" applyFont="1" applyFill="1" applyBorder="1" applyAlignment="1">
      <alignment horizontal="right"/>
    </xf>
    <xf numFmtId="43" fontId="1" fillId="5" borderId="1" xfId="1" applyFont="1" applyFill="1" applyBorder="1"/>
    <xf numFmtId="0" fontId="53" fillId="0" borderId="46" xfId="0" applyFont="1" applyFill="1" applyBorder="1"/>
    <xf numFmtId="0" fontId="53" fillId="0" borderId="47" xfId="0" applyFont="1" applyFill="1" applyBorder="1"/>
    <xf numFmtId="4" fontId="58" fillId="0" borderId="5" xfId="0" applyNumberFormat="1" applyFont="1" applyFill="1" applyBorder="1" applyAlignment="1">
      <alignment horizontal="right"/>
    </xf>
    <xf numFmtId="43" fontId="4" fillId="0" borderId="1" xfId="4" applyFont="1" applyFill="1" applyBorder="1"/>
    <xf numFmtId="43" fontId="53" fillId="0" borderId="1" xfId="1" applyFont="1" applyFill="1" applyBorder="1" applyAlignment="1">
      <alignment horizontal="right"/>
    </xf>
    <xf numFmtId="43" fontId="10" fillId="0" borderId="1" xfId="1" applyNumberFormat="1" applyFont="1" applyFill="1" applyBorder="1" applyAlignment="1" applyProtection="1">
      <alignment horizontal="center"/>
    </xf>
    <xf numFmtId="43" fontId="53" fillId="0" borderId="5" xfId="1" applyFont="1" applyFill="1" applyBorder="1" applyAlignment="1">
      <alignment horizontal="right"/>
    </xf>
    <xf numFmtId="0" fontId="53" fillId="0" borderId="5" xfId="0" applyFont="1" applyFill="1" applyBorder="1"/>
    <xf numFmtId="0" fontId="53" fillId="0" borderId="1" xfId="0" applyFont="1" applyFill="1" applyBorder="1"/>
    <xf numFmtId="43" fontId="60" fillId="0" borderId="1" xfId="1" applyNumberFormat="1" applyFont="1" applyFill="1" applyBorder="1" applyAlignment="1" applyProtection="1">
      <alignment horizontal="center"/>
    </xf>
    <xf numFmtId="4" fontId="1" fillId="18" borderId="0" xfId="0" applyNumberFormat="1" applyFont="1" applyFill="1"/>
    <xf numFmtId="43" fontId="10" fillId="0" borderId="1" xfId="1" applyFont="1" applyBorder="1"/>
    <xf numFmtId="43" fontId="10" fillId="0" borderId="5" xfId="4" applyFont="1" applyBorder="1"/>
    <xf numFmtId="43" fontId="10" fillId="0" borderId="1" xfId="0" applyNumberFormat="1" applyFont="1" applyBorder="1"/>
    <xf numFmtId="43" fontId="10" fillId="9" borderId="1" xfId="4" applyFont="1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3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41" fillId="18" borderId="1" xfId="3" applyFont="1" applyFill="1" applyBorder="1" applyAlignment="1">
      <alignment horizontal="center" vertical="center"/>
    </xf>
    <xf numFmtId="0" fontId="2" fillId="6" borderId="1" xfId="0" applyFont="1" applyFill="1" applyBorder="1"/>
    <xf numFmtId="0" fontId="2" fillId="6" borderId="16" xfId="0" applyFont="1" applyFill="1" applyBorder="1"/>
    <xf numFmtId="43" fontId="1" fillId="10" borderId="25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43" fontId="1" fillId="0" borderId="1" xfId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43" fontId="1" fillId="0" borderId="1" xfId="1" applyFont="1" applyFill="1" applyBorder="1"/>
    <xf numFmtId="0" fontId="0" fillId="8" borderId="1" xfId="0" applyFill="1" applyBorder="1"/>
    <xf numFmtId="43" fontId="1" fillId="8" borderId="1" xfId="1" applyFont="1" applyFill="1" applyBorder="1"/>
    <xf numFmtId="0" fontId="61" fillId="0" borderId="1" xfId="3" applyFont="1" applyBorder="1" applyAlignment="1">
      <alignment horizontal="left" vertical="center"/>
    </xf>
    <xf numFmtId="14" fontId="0" fillId="0" borderId="1" xfId="0" applyNumberFormat="1" applyBorder="1" applyAlignment="1">
      <alignment horizontal="center"/>
    </xf>
    <xf numFmtId="12" fontId="0" fillId="0" borderId="1" xfId="0" applyNumberFormat="1" applyBorder="1"/>
    <xf numFmtId="0" fontId="25" fillId="9" borderId="1" xfId="3" applyFont="1" applyFill="1" applyBorder="1" applyAlignment="1">
      <alignment horizontal="left" vertical="center"/>
    </xf>
    <xf numFmtId="1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5" fillId="9" borderId="1" xfId="3" applyFont="1" applyFill="1" applyBorder="1" applyAlignment="1">
      <alignment horizontal="left" vertical="center" wrapText="1"/>
    </xf>
    <xf numFmtId="1" fontId="0" fillId="0" borderId="1" xfId="0" applyNumberFormat="1" applyBorder="1"/>
    <xf numFmtId="0" fontId="0" fillId="0" borderId="1" xfId="0" applyBorder="1" applyAlignment="1">
      <alignment horizontal="center" wrapText="1"/>
    </xf>
    <xf numFmtId="14" fontId="8" fillId="9" borderId="1" xfId="3" applyNumberFormat="1" applyFont="1" applyFill="1" applyBorder="1"/>
    <xf numFmtId="43" fontId="8" fillId="9" borderId="1" xfId="1" applyFont="1" applyFill="1" applyBorder="1"/>
    <xf numFmtId="0" fontId="0" fillId="7" borderId="1" xfId="0" applyFill="1" applyBorder="1"/>
    <xf numFmtId="43" fontId="1" fillId="7" borderId="1" xfId="1" applyFont="1" applyFill="1" applyBorder="1"/>
    <xf numFmtId="43" fontId="1" fillId="7" borderId="0" xfId="1" applyFont="1" applyFill="1"/>
    <xf numFmtId="43" fontId="0" fillId="0" borderId="0" xfId="1" applyFont="1" applyAlignment="1">
      <alignment horizontal="left"/>
    </xf>
    <xf numFmtId="43" fontId="1" fillId="0" borderId="0" xfId="1" applyFont="1" applyAlignment="1">
      <alignment horizontal="center"/>
    </xf>
    <xf numFmtId="0" fontId="0" fillId="0" borderId="0" xfId="0" applyAlignment="1"/>
    <xf numFmtId="43" fontId="0" fillId="0" borderId="0" xfId="1" applyFont="1" applyAlignment="1"/>
    <xf numFmtId="43" fontId="0" fillId="0" borderId="0" xfId="1" applyFont="1" applyBorder="1" applyAlignment="1"/>
    <xf numFmtId="0" fontId="0" fillId="0" borderId="24" xfId="0" applyBorder="1" applyAlignment="1"/>
    <xf numFmtId="43" fontId="1" fillId="10" borderId="1" xfId="1" applyFont="1" applyFill="1" applyBorder="1" applyAlignment="1">
      <alignment wrapText="1"/>
    </xf>
    <xf numFmtId="43" fontId="63" fillId="0" borderId="1" xfId="4" applyFont="1" applyFill="1" applyBorder="1" applyAlignment="1"/>
    <xf numFmtId="0" fontId="0" fillId="0" borderId="1" xfId="0" applyFill="1" applyBorder="1"/>
    <xf numFmtId="43" fontId="63" fillId="0" borderId="16" xfId="1" applyFont="1" applyFill="1" applyBorder="1" applyAlignment="1">
      <alignment horizontal="right"/>
    </xf>
    <xf numFmtId="164" fontId="63" fillId="0" borderId="0" xfId="1" applyNumberFormat="1" applyFont="1" applyFill="1" applyBorder="1" applyAlignment="1">
      <alignment horizontal="right"/>
    </xf>
    <xf numFmtId="164" fontId="63" fillId="0" borderId="48" xfId="1" applyNumberFormat="1" applyFont="1" applyFill="1" applyBorder="1" applyAlignment="1">
      <alignment horizontal="right"/>
    </xf>
    <xf numFmtId="164" fontId="63" fillId="9" borderId="0" xfId="1" applyNumberFormat="1" applyFont="1" applyFill="1" applyBorder="1" applyAlignment="1">
      <alignment horizontal="right"/>
    </xf>
    <xf numFmtId="0" fontId="63" fillId="0" borderId="1" xfId="0" applyFont="1" applyFill="1" applyBorder="1"/>
    <xf numFmtId="164" fontId="63" fillId="0" borderId="0" xfId="1" applyNumberFormat="1" applyFont="1" applyBorder="1" applyAlignment="1">
      <alignment horizontal="right"/>
    </xf>
    <xf numFmtId="0" fontId="63" fillId="0" borderId="5" xfId="0" applyFont="1" applyBorder="1"/>
    <xf numFmtId="0" fontId="63" fillId="0" borderId="5" xfId="0" applyFont="1" applyFill="1" applyBorder="1" applyAlignment="1">
      <alignment horizontal="left"/>
    </xf>
    <xf numFmtId="0" fontId="0" fillId="0" borderId="2" xfId="0" applyBorder="1"/>
    <xf numFmtId="0" fontId="0" fillId="0" borderId="1" xfId="0" applyBorder="1" applyAlignment="1">
      <alignment horizontal="left"/>
    </xf>
    <xf numFmtId="43" fontId="63" fillId="0" borderId="49" xfId="1" applyFont="1" applyFill="1" applyBorder="1" applyAlignment="1">
      <alignment horizontal="right"/>
    </xf>
    <xf numFmtId="43" fontId="0" fillId="0" borderId="7" xfId="1" applyFont="1" applyBorder="1"/>
    <xf numFmtId="0" fontId="63" fillId="0" borderId="7" xfId="0" applyFont="1" applyFill="1" applyBorder="1"/>
    <xf numFmtId="0" fontId="63" fillId="0" borderId="7" xfId="0" applyFont="1" applyFill="1" applyBorder="1" applyAlignment="1">
      <alignment horizontal="left"/>
    </xf>
    <xf numFmtId="0" fontId="0" fillId="0" borderId="7" xfId="0" applyBorder="1"/>
    <xf numFmtId="0" fontId="63" fillId="0" borderId="1" xfId="0" applyFont="1" applyFill="1" applyBorder="1" applyAlignment="1">
      <alignment horizontal="left"/>
    </xf>
    <xf numFmtId="43" fontId="63" fillId="0" borderId="2" xfId="1" applyFont="1" applyFill="1" applyBorder="1" applyAlignment="1">
      <alignment horizontal="right"/>
    </xf>
    <xf numFmtId="0" fontId="63" fillId="0" borderId="1" xfId="0" applyFont="1" applyBorder="1"/>
    <xf numFmtId="0" fontId="63" fillId="9" borderId="1" xfId="0" applyFont="1" applyFill="1" applyBorder="1"/>
    <xf numFmtId="0" fontId="63" fillId="0" borderId="1" xfId="0" applyFont="1" applyBorder="1" applyAlignment="1">
      <alignment horizontal="left"/>
    </xf>
    <xf numFmtId="0" fontId="64" fillId="9" borderId="1" xfId="0" applyFont="1" applyFill="1" applyBorder="1" applyAlignment="1">
      <alignment horizontal="left"/>
    </xf>
    <xf numFmtId="0" fontId="63" fillId="9" borderId="1" xfId="0" applyFont="1" applyFill="1" applyBorder="1" applyAlignment="1">
      <alignment horizontal="left"/>
    </xf>
    <xf numFmtId="0" fontId="0" fillId="9" borderId="1" xfId="0" applyFill="1" applyBorder="1" applyAlignment="1">
      <alignment horizontal="left"/>
    </xf>
    <xf numFmtId="0" fontId="0" fillId="9" borderId="1" xfId="0" applyFill="1" applyBorder="1" applyAlignment="1"/>
    <xf numFmtId="0" fontId="64" fillId="9" borderId="1" xfId="0" applyFont="1" applyFill="1" applyBorder="1" applyAlignment="1"/>
    <xf numFmtId="164" fontId="63" fillId="0" borderId="0" xfId="1" applyNumberFormat="1" applyFont="1" applyBorder="1"/>
    <xf numFmtId="0" fontId="0" fillId="10" borderId="1" xfId="0" applyFill="1" applyBorder="1"/>
    <xf numFmtId="43" fontId="63" fillId="10" borderId="1" xfId="1" applyFont="1" applyFill="1" applyBorder="1" applyAlignment="1">
      <alignment horizontal="right"/>
    </xf>
    <xf numFmtId="43" fontId="1" fillId="10" borderId="1" xfId="1" applyFont="1" applyFill="1" applyBorder="1"/>
    <xf numFmtId="0" fontId="0" fillId="0" borderId="6" xfId="0" applyFill="1" applyBorder="1"/>
    <xf numFmtId="164" fontId="0" fillId="0" borderId="0" xfId="0" applyNumberFormat="1"/>
    <xf numFmtId="4" fontId="6" fillId="9" borderId="0" xfId="1" applyNumberFormat="1" applyFont="1" applyFill="1" applyBorder="1" applyAlignment="1">
      <alignment horizontal="right"/>
    </xf>
    <xf numFmtId="164" fontId="24" fillId="0" borderId="0" xfId="4" applyNumberFormat="1" applyFont="1" applyBorder="1" applyAlignment="1">
      <alignment horizontal="right"/>
    </xf>
    <xf numFmtId="0" fontId="0" fillId="0" borderId="0" xfId="0" applyBorder="1"/>
    <xf numFmtId="0" fontId="10" fillId="0" borderId="0" xfId="0" applyFont="1"/>
    <xf numFmtId="0" fontId="28" fillId="18" borderId="1" xfId="0" applyFont="1" applyFill="1" applyBorder="1" applyAlignment="1">
      <alignment horizontal="center"/>
    </xf>
    <xf numFmtId="0" fontId="65" fillId="0" borderId="1" xfId="0" applyFont="1" applyBorder="1" applyAlignment="1">
      <alignment horizontal="center" wrapText="1"/>
    </xf>
    <xf numFmtId="0" fontId="65" fillId="0" borderId="1" xfId="0" applyFont="1" applyBorder="1" applyAlignment="1">
      <alignment horizontal="left"/>
    </xf>
    <xf numFmtId="43" fontId="65" fillId="0" borderId="1" xfId="1" applyFont="1" applyBorder="1"/>
    <xf numFmtId="43" fontId="66" fillId="0" borderId="1" xfId="0" applyNumberFormat="1" applyFont="1" applyBorder="1"/>
    <xf numFmtId="43" fontId="67" fillId="0" borderId="1" xfId="0" applyNumberFormat="1" applyFont="1" applyBorder="1"/>
    <xf numFmtId="43" fontId="66" fillId="0" borderId="0" xfId="1" applyFont="1"/>
    <xf numFmtId="0" fontId="65" fillId="9" borderId="1" xfId="0" applyFont="1" applyFill="1" applyBorder="1" applyAlignment="1">
      <alignment horizontal="center" wrapText="1"/>
    </xf>
    <xf numFmtId="0" fontId="65" fillId="9" borderId="1" xfId="0" applyFont="1" applyFill="1" applyBorder="1" applyAlignment="1">
      <alignment horizontal="left"/>
    </xf>
    <xf numFmtId="43" fontId="66" fillId="0" borderId="0" xfId="1" applyFont="1" applyFill="1"/>
    <xf numFmtId="0" fontId="66" fillId="9" borderId="1" xfId="0" applyFont="1" applyFill="1" applyBorder="1" applyAlignment="1">
      <alignment horizontal="center"/>
    </xf>
    <xf numFmtId="0" fontId="66" fillId="0" borderId="1" xfId="0" applyFont="1" applyBorder="1" applyAlignment="1">
      <alignment horizontal="center"/>
    </xf>
    <xf numFmtId="43" fontId="33" fillId="18" borderId="1" xfId="1" applyFont="1" applyFill="1" applyBorder="1" applyAlignment="1">
      <alignment horizontal="center" vertical="center"/>
    </xf>
    <xf numFmtId="43" fontId="1" fillId="0" borderId="0" xfId="1" applyFont="1"/>
    <xf numFmtId="43" fontId="68" fillId="0" borderId="1" xfId="1" applyNumberFormat="1" applyFont="1" applyFill="1" applyBorder="1" applyAlignment="1" applyProtection="1">
      <alignment horizontal="center"/>
    </xf>
    <xf numFmtId="0" fontId="25" fillId="18" borderId="0" xfId="3" applyFont="1" applyFill="1" applyAlignment="1">
      <alignment horizontal="center"/>
    </xf>
    <xf numFmtId="4" fontId="0" fillId="18" borderId="0" xfId="0" applyNumberFormat="1" applyFill="1"/>
    <xf numFmtId="4" fontId="0" fillId="0" borderId="0" xfId="0" applyNumberFormat="1"/>
    <xf numFmtId="43" fontId="40" fillId="0" borderId="6" xfId="1" applyFont="1" applyFill="1" applyBorder="1" applyAlignment="1">
      <alignment horizontal="left" vertical="center"/>
    </xf>
    <xf numFmtId="0" fontId="0" fillId="9" borderId="17" xfId="0" applyFill="1" applyBorder="1"/>
    <xf numFmtId="0" fontId="2" fillId="9" borderId="15" xfId="0" applyFont="1" applyFill="1" applyBorder="1" applyAlignment="1">
      <alignment horizontal="center"/>
    </xf>
    <xf numFmtId="0" fontId="2" fillId="9" borderId="16" xfId="0" applyFont="1" applyFill="1" applyBorder="1" applyAlignment="1">
      <alignment horizontal="center"/>
    </xf>
    <xf numFmtId="43" fontId="28" fillId="9" borderId="0" xfId="1" applyFont="1" applyFill="1"/>
    <xf numFmtId="0" fontId="2" fillId="9" borderId="4" xfId="0" applyFont="1" applyFill="1" applyBorder="1"/>
    <xf numFmtId="0" fontId="2" fillId="9" borderId="1" xfId="0" applyFont="1" applyFill="1" applyBorder="1"/>
    <xf numFmtId="0" fontId="2" fillId="9" borderId="16" xfId="0" applyFont="1" applyFill="1" applyBorder="1"/>
    <xf numFmtId="0" fontId="0" fillId="9" borderId="0" xfId="0" applyFill="1"/>
    <xf numFmtId="14" fontId="1" fillId="9" borderId="15" xfId="0" applyNumberFormat="1" applyFont="1" applyFill="1" applyBorder="1"/>
    <xf numFmtId="43" fontId="1" fillId="9" borderId="17" xfId="1" applyFont="1" applyFill="1" applyBorder="1"/>
    <xf numFmtId="0" fontId="0" fillId="9" borderId="4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0" fillId="9" borderId="15" xfId="0" applyFill="1" applyBorder="1"/>
    <xf numFmtId="0" fontId="0" fillId="9" borderId="16" xfId="0" applyFill="1" applyBorder="1"/>
    <xf numFmtId="0" fontId="0" fillId="9" borderId="4" xfId="0" applyFill="1" applyBorder="1"/>
    <xf numFmtId="0" fontId="0" fillId="9" borderId="1" xfId="0" applyFill="1" applyBorder="1"/>
    <xf numFmtId="0" fontId="1" fillId="9" borderId="19" xfId="0" applyFont="1" applyFill="1" applyBorder="1"/>
    <xf numFmtId="0" fontId="0" fillId="9" borderId="20" xfId="0" applyFill="1" applyBorder="1"/>
    <xf numFmtId="0" fontId="0" fillId="9" borderId="21" xfId="0" applyFill="1" applyBorder="1"/>
    <xf numFmtId="43" fontId="1" fillId="9" borderId="19" xfId="1" applyFont="1" applyFill="1" applyBorder="1"/>
    <xf numFmtId="0" fontId="0" fillId="9" borderId="22" xfId="0" applyFill="1" applyBorder="1"/>
    <xf numFmtId="0" fontId="0" fillId="9" borderId="23" xfId="0" applyFill="1" applyBorder="1"/>
    <xf numFmtId="0" fontId="0" fillId="20" borderId="17" xfId="0" applyFill="1" applyBorder="1"/>
    <xf numFmtId="14" fontId="1" fillId="20" borderId="15" xfId="0" applyNumberFormat="1" applyFont="1" applyFill="1" applyBorder="1"/>
    <xf numFmtId="0" fontId="2" fillId="20" borderId="16" xfId="0" applyFont="1" applyFill="1" applyBorder="1" applyAlignment="1">
      <alignment horizontal="center"/>
    </xf>
    <xf numFmtId="43" fontId="1" fillId="20" borderId="17" xfId="1" applyFont="1" applyFill="1" applyBorder="1"/>
    <xf numFmtId="4" fontId="0" fillId="20" borderId="0" xfId="0" applyNumberFormat="1" applyFill="1"/>
    <xf numFmtId="43" fontId="0" fillId="20" borderId="0" xfId="0" applyNumberFormat="1" applyFill="1"/>
    <xf numFmtId="164" fontId="0" fillId="20" borderId="0" xfId="0" applyNumberFormat="1" applyFill="1"/>
    <xf numFmtId="4" fontId="26" fillId="0" borderId="39" xfId="3" applyNumberFormat="1" applyFont="1" applyFill="1" applyBorder="1"/>
    <xf numFmtId="0" fontId="3" fillId="0" borderId="0" xfId="0" applyFont="1" applyFill="1" applyBorder="1" applyAlignment="1">
      <alignment horizontal="center" vertical="center" wrapText="1"/>
    </xf>
    <xf numFmtId="43" fontId="0" fillId="0" borderId="0" xfId="0" applyNumberFormat="1" applyFill="1"/>
    <xf numFmtId="43" fontId="0" fillId="0" borderId="0" xfId="1" applyFont="1" applyFill="1"/>
    <xf numFmtId="43" fontId="1" fillId="0" borderId="0" xfId="0" applyNumberFormat="1" applyFont="1"/>
    <xf numFmtId="164" fontId="1" fillId="0" borderId="0" xfId="0" applyNumberFormat="1" applyFont="1"/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3" fontId="1" fillId="0" borderId="1" xfId="1" applyFont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43" fontId="0" fillId="5" borderId="1" xfId="1" applyFont="1" applyFill="1" applyBorder="1" applyAlignment="1"/>
    <xf numFmtId="43" fontId="1" fillId="5" borderId="1" xfId="1" applyFont="1" applyFill="1" applyBorder="1" applyAlignment="1"/>
    <xf numFmtId="0" fontId="0" fillId="0" borderId="1" xfId="0" applyBorder="1" applyAlignment="1">
      <alignment horizontal="left" vertical="center"/>
    </xf>
    <xf numFmtId="43" fontId="1" fillId="0" borderId="1" xfId="1" applyFont="1" applyBorder="1" applyAlignment="1"/>
    <xf numFmtId="43" fontId="0" fillId="0" borderId="1" xfId="1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43" fontId="1" fillId="2" borderId="1" xfId="1" applyFont="1" applyFill="1" applyBorder="1" applyAlignment="1">
      <alignment horizontal="center" vertical="center"/>
    </xf>
    <xf numFmtId="43" fontId="1" fillId="0" borderId="1" xfId="1" applyFont="1" applyBorder="1" applyAlignment="1">
      <alignment vertical="center"/>
    </xf>
    <xf numFmtId="43" fontId="0" fillId="0" borderId="1" xfId="1" applyFont="1" applyBorder="1" applyAlignment="1"/>
    <xf numFmtId="0" fontId="0" fillId="0" borderId="1" xfId="0" applyBorder="1" applyAlignment="1"/>
    <xf numFmtId="0" fontId="2" fillId="3" borderId="1" xfId="0" applyFont="1" applyFill="1" applyBorder="1" applyAlignment="1">
      <alignment horizontal="left" vertical="center"/>
    </xf>
    <xf numFmtId="43" fontId="1" fillId="3" borderId="1" xfId="1" applyFont="1" applyFill="1" applyBorder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32" fillId="9" borderId="28" xfId="3" applyFont="1" applyFill="1" applyBorder="1" applyAlignment="1">
      <alignment horizontal="center"/>
    </xf>
    <xf numFmtId="0" fontId="32" fillId="9" borderId="0" xfId="3" applyFont="1" applyFill="1" applyAlignment="1">
      <alignment horizontal="center"/>
    </xf>
    <xf numFmtId="0" fontId="30" fillId="9" borderId="28" xfId="3" applyFont="1" applyFill="1" applyBorder="1" applyAlignment="1">
      <alignment horizontal="center"/>
    </xf>
    <xf numFmtId="0" fontId="30" fillId="9" borderId="0" xfId="3" applyFont="1" applyFill="1" applyAlignment="1">
      <alignment horizontal="center"/>
    </xf>
    <xf numFmtId="0" fontId="30" fillId="9" borderId="38" xfId="3" applyFont="1" applyFill="1" applyBorder="1" applyAlignment="1">
      <alignment horizontal="center"/>
    </xf>
    <xf numFmtId="0" fontId="29" fillId="9" borderId="28" xfId="3" applyFont="1" applyFill="1" applyBorder="1" applyAlignment="1">
      <alignment horizontal="center"/>
    </xf>
    <xf numFmtId="0" fontId="29" fillId="9" borderId="0" xfId="3" applyFont="1" applyFill="1" applyAlignment="1">
      <alignment horizontal="center"/>
    </xf>
    <xf numFmtId="0" fontId="29" fillId="9" borderId="38" xfId="3" applyFont="1" applyFill="1" applyBorder="1" applyAlignment="1">
      <alignment horizontal="center"/>
    </xf>
    <xf numFmtId="0" fontId="28" fillId="9" borderId="28" xfId="3" applyFont="1" applyFill="1" applyBorder="1" applyAlignment="1">
      <alignment horizontal="center"/>
    </xf>
    <xf numFmtId="0" fontId="28" fillId="9" borderId="0" xfId="3" applyFont="1" applyFill="1" applyAlignment="1">
      <alignment horizontal="center"/>
    </xf>
    <xf numFmtId="0" fontId="28" fillId="9" borderId="38" xfId="3" applyFont="1" applyFill="1" applyBorder="1" applyAlignment="1">
      <alignment horizontal="center"/>
    </xf>
    <xf numFmtId="0" fontId="25" fillId="11" borderId="28" xfId="3" applyFont="1" applyFill="1" applyBorder="1" applyAlignment="1">
      <alignment horizontal="center"/>
    </xf>
    <xf numFmtId="0" fontId="25" fillId="11" borderId="0" xfId="3" applyFont="1" applyFill="1" applyAlignment="1">
      <alignment horizontal="center"/>
    </xf>
    <xf numFmtId="0" fontId="25" fillId="11" borderId="38" xfId="3" applyFont="1" applyFill="1" applyBorder="1" applyAlignment="1">
      <alignment horizontal="center"/>
    </xf>
    <xf numFmtId="0" fontId="19" fillId="15" borderId="5" xfId="3" applyFont="1" applyFill="1" applyBorder="1" applyAlignment="1">
      <alignment horizontal="center" vertical="center" wrapText="1"/>
    </xf>
    <xf numFmtId="0" fontId="19" fillId="15" borderId="6" xfId="3" applyFont="1" applyFill="1" applyBorder="1" applyAlignment="1">
      <alignment horizontal="center" vertical="center" wrapText="1"/>
    </xf>
    <xf numFmtId="0" fontId="19" fillId="15" borderId="7" xfId="3" applyFont="1" applyFill="1" applyBorder="1" applyAlignment="1">
      <alignment horizontal="center" vertical="center" wrapText="1"/>
    </xf>
    <xf numFmtId="9" fontId="18" fillId="15" borderId="5" xfId="5" applyFont="1" applyFill="1" applyBorder="1" applyAlignment="1">
      <alignment horizontal="center" vertical="center"/>
    </xf>
    <xf numFmtId="9" fontId="18" fillId="15" borderId="6" xfId="5" applyFont="1" applyFill="1" applyBorder="1" applyAlignment="1">
      <alignment horizontal="center" vertical="center"/>
    </xf>
    <xf numFmtId="9" fontId="18" fillId="15" borderId="7" xfId="5" applyFont="1" applyFill="1" applyBorder="1" applyAlignment="1">
      <alignment horizontal="center" vertical="center"/>
    </xf>
    <xf numFmtId="17" fontId="25" fillId="11" borderId="28" xfId="3" applyNumberFormat="1" applyFont="1" applyFill="1" applyBorder="1" applyAlignment="1">
      <alignment horizontal="center"/>
    </xf>
    <xf numFmtId="0" fontId="25" fillId="11" borderId="0" xfId="3" applyFont="1" applyFill="1" applyBorder="1" applyAlignment="1">
      <alignment horizontal="center"/>
    </xf>
    <xf numFmtId="0" fontId="19" fillId="16" borderId="1" xfId="3" applyFont="1" applyFill="1" applyBorder="1" applyAlignment="1">
      <alignment horizontal="center"/>
    </xf>
    <xf numFmtId="0" fontId="23" fillId="16" borderId="2" xfId="3" applyFont="1" applyFill="1" applyBorder="1" applyAlignment="1">
      <alignment horizontal="center"/>
    </xf>
    <xf numFmtId="0" fontId="23" fillId="16" borderId="3" xfId="3" applyFont="1" applyFill="1" applyBorder="1" applyAlignment="1">
      <alignment horizontal="center"/>
    </xf>
    <xf numFmtId="0" fontId="19" fillId="15" borderId="5" xfId="3" applyFont="1" applyFill="1" applyBorder="1" applyAlignment="1">
      <alignment horizontal="center" vertical="center" textRotation="90"/>
    </xf>
    <xf numFmtId="0" fontId="19" fillId="15" borderId="7" xfId="3" applyFont="1" applyFill="1" applyBorder="1" applyAlignment="1">
      <alignment horizontal="center" vertical="center" textRotation="90"/>
    </xf>
    <xf numFmtId="0" fontId="20" fillId="15" borderId="7" xfId="3" applyFont="1" applyFill="1" applyBorder="1" applyAlignment="1">
      <alignment horizontal="center" vertical="center" wrapText="1"/>
    </xf>
    <xf numFmtId="0" fontId="20" fillId="15" borderId="1" xfId="3" applyFont="1" applyFill="1" applyBorder="1" applyAlignment="1">
      <alignment horizontal="center" vertical="center" wrapText="1"/>
    </xf>
    <xf numFmtId="0" fontId="20" fillId="15" borderId="6" xfId="3" applyFont="1" applyFill="1" applyBorder="1" applyAlignment="1">
      <alignment horizontal="center" vertical="center" wrapText="1"/>
    </xf>
    <xf numFmtId="0" fontId="22" fillId="15" borderId="1" xfId="3" applyFont="1" applyFill="1" applyBorder="1" applyAlignment="1">
      <alignment horizontal="center" vertical="center"/>
    </xf>
    <xf numFmtId="0" fontId="21" fillId="15" borderId="5" xfId="3" applyFont="1" applyFill="1" applyBorder="1" applyAlignment="1">
      <alignment horizontal="center" vertical="center"/>
    </xf>
    <xf numFmtId="0" fontId="21" fillId="15" borderId="6" xfId="3" applyFont="1" applyFill="1" applyBorder="1" applyAlignment="1">
      <alignment horizontal="center" vertical="center"/>
    </xf>
    <xf numFmtId="0" fontId="21" fillId="15" borderId="7" xfId="3" applyFont="1" applyFill="1" applyBorder="1" applyAlignment="1">
      <alignment horizontal="center" vertical="center"/>
    </xf>
    <xf numFmtId="0" fontId="20" fillId="15" borderId="2" xfId="3" applyFont="1" applyFill="1" applyBorder="1" applyAlignment="1">
      <alignment horizontal="center" vertical="center" wrapText="1"/>
    </xf>
    <xf numFmtId="0" fontId="20" fillId="15" borderId="3" xfId="3" applyFont="1" applyFill="1" applyBorder="1" applyAlignment="1">
      <alignment horizontal="center" vertical="center" wrapText="1"/>
    </xf>
    <xf numFmtId="0" fontId="20" fillId="15" borderId="4" xfId="3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0" borderId="27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10" borderId="35" xfId="0" applyFont="1" applyFill="1" applyBorder="1" applyAlignment="1">
      <alignment horizontal="center"/>
    </xf>
    <xf numFmtId="0" fontId="1" fillId="10" borderId="34" xfId="0" applyFont="1" applyFill="1" applyBorder="1" applyAlignment="1">
      <alignment horizontal="center"/>
    </xf>
    <xf numFmtId="0" fontId="1" fillId="10" borderId="33" xfId="0" applyFont="1" applyFill="1" applyBorder="1" applyAlignment="1">
      <alignment horizontal="center"/>
    </xf>
    <xf numFmtId="0" fontId="1" fillId="0" borderId="32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20" borderId="0" xfId="0" applyFill="1" applyAlignment="1">
      <alignment horizontal="center"/>
    </xf>
    <xf numFmtId="0" fontId="6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9" fillId="0" borderId="0" xfId="3" applyFont="1" applyAlignment="1">
      <alignment horizontal="center"/>
    </xf>
    <xf numFmtId="0" fontId="38" fillId="0" borderId="0" xfId="3" applyFont="1" applyAlignment="1">
      <alignment horizontal="center" wrapText="1"/>
    </xf>
    <xf numFmtId="0" fontId="38" fillId="0" borderId="0" xfId="3" applyFont="1" applyAlignment="1">
      <alignment horizontal="center"/>
    </xf>
    <xf numFmtId="0" fontId="34" fillId="0" borderId="0" xfId="0" applyFont="1" applyAlignment="1">
      <alignment horizontal="center"/>
    </xf>
    <xf numFmtId="0" fontId="49" fillId="0" borderId="0" xfId="3" applyFont="1" applyAlignment="1">
      <alignment horizontal="center"/>
    </xf>
    <xf numFmtId="0" fontId="48" fillId="0" borderId="0" xfId="3" applyFont="1" applyAlignment="1">
      <alignment horizontal="center"/>
    </xf>
    <xf numFmtId="0" fontId="47" fillId="0" borderId="0" xfId="3" applyFont="1" applyAlignment="1">
      <alignment horizontal="center"/>
    </xf>
    <xf numFmtId="0" fontId="38" fillId="0" borderId="0" xfId="3" applyFont="1" applyAlignment="1">
      <alignment horizontal="right"/>
    </xf>
    <xf numFmtId="17" fontId="0" fillId="0" borderId="0" xfId="0" applyNumberFormat="1" applyAlignment="1">
      <alignment horizontal="center"/>
    </xf>
    <xf numFmtId="0" fontId="41" fillId="18" borderId="42" xfId="3" applyFont="1" applyFill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41" fillId="19" borderId="44" xfId="3" applyFont="1" applyFill="1" applyBorder="1" applyAlignment="1">
      <alignment horizontal="center" vertical="center"/>
    </xf>
    <xf numFmtId="0" fontId="41" fillId="19" borderId="42" xfId="3" applyFont="1" applyFill="1" applyBorder="1" applyAlignment="1">
      <alignment horizontal="center" vertical="center"/>
    </xf>
    <xf numFmtId="0" fontId="41" fillId="18" borderId="44" xfId="3" applyFont="1" applyFill="1" applyBorder="1" applyAlignment="1">
      <alignment horizontal="center" vertical="center"/>
    </xf>
    <xf numFmtId="0" fontId="41" fillId="18" borderId="43" xfId="3" applyFont="1" applyFill="1" applyBorder="1" applyAlignment="1">
      <alignment horizontal="center" vertical="center"/>
    </xf>
    <xf numFmtId="0" fontId="41" fillId="8" borderId="1" xfId="3" applyFont="1" applyFill="1" applyBorder="1" applyAlignment="1">
      <alignment horizontal="center" vertical="center"/>
    </xf>
    <xf numFmtId="0" fontId="41" fillId="18" borderId="1" xfId="3" applyFont="1" applyFill="1" applyBorder="1" applyAlignment="1">
      <alignment horizontal="center" vertical="center"/>
    </xf>
  </cellXfs>
  <cellStyles count="14">
    <cellStyle name="Millares" xfId="1" builtinId="3"/>
    <cellStyle name="Millares 2" xfId="4"/>
    <cellStyle name="Millares 2 4" xfId="6"/>
    <cellStyle name="Normal" xfId="0" builtinId="0"/>
    <cellStyle name="Normal 10" xfId="9"/>
    <cellStyle name="Normal 11" xfId="11"/>
    <cellStyle name="Normal 12 3" xfId="12"/>
    <cellStyle name="Normal 17" xfId="7"/>
    <cellStyle name="Normal 2 2" xfId="3"/>
    <cellStyle name="Normal 2 4" xfId="8"/>
    <cellStyle name="Normal 9" xfId="10"/>
    <cellStyle name="Normal 9 2 2" xfId="13"/>
    <cellStyle name="Porcentaje" xfId="2" builtinId="5"/>
    <cellStyle name="Porcentaje 2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</xdr:colOff>
      <xdr:row>147</xdr:row>
      <xdr:rowOff>6350</xdr:rowOff>
    </xdr:from>
    <xdr:to>
      <xdr:col>5</xdr:col>
      <xdr:colOff>150872</xdr:colOff>
      <xdr:row>147</xdr:row>
      <xdr:rowOff>6350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138555" y="238093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212</xdr:row>
      <xdr:rowOff>1270</xdr:rowOff>
    </xdr:from>
    <xdr:to>
      <xdr:col>5</xdr:col>
      <xdr:colOff>407745</xdr:colOff>
      <xdr:row>212</xdr:row>
      <xdr:rowOff>1905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36650" y="343293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148</xdr:row>
      <xdr:rowOff>6350</xdr:rowOff>
    </xdr:from>
    <xdr:to>
      <xdr:col>5</xdr:col>
      <xdr:colOff>150872</xdr:colOff>
      <xdr:row>148</xdr:row>
      <xdr:rowOff>6350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138555" y="252857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213</xdr:row>
      <xdr:rowOff>1270</xdr:rowOff>
    </xdr:from>
    <xdr:to>
      <xdr:col>5</xdr:col>
      <xdr:colOff>407745</xdr:colOff>
      <xdr:row>213</xdr:row>
      <xdr:rowOff>1905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136650" y="36939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 editAs="oneCell">
    <xdr:from>
      <xdr:col>0</xdr:col>
      <xdr:colOff>0</xdr:colOff>
      <xdr:row>0</xdr:row>
      <xdr:rowOff>174046</xdr:rowOff>
    </xdr:from>
    <xdr:to>
      <xdr:col>5</xdr:col>
      <xdr:colOff>1472046</xdr:colOff>
      <xdr:row>4</xdr:row>
      <xdr:rowOff>121228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046"/>
          <a:ext cx="2606387" cy="101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5080</xdr:colOff>
      <xdr:row>148</xdr:row>
      <xdr:rowOff>6350</xdr:rowOff>
    </xdr:from>
    <xdr:to>
      <xdr:col>5</xdr:col>
      <xdr:colOff>150872</xdr:colOff>
      <xdr:row>148</xdr:row>
      <xdr:rowOff>6350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138555" y="252857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213</xdr:row>
      <xdr:rowOff>1270</xdr:rowOff>
    </xdr:from>
    <xdr:to>
      <xdr:col>5</xdr:col>
      <xdr:colOff>407745</xdr:colOff>
      <xdr:row>213</xdr:row>
      <xdr:rowOff>1905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136650" y="36939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148</xdr:row>
      <xdr:rowOff>6350</xdr:rowOff>
    </xdr:from>
    <xdr:to>
      <xdr:col>5</xdr:col>
      <xdr:colOff>150872</xdr:colOff>
      <xdr:row>148</xdr:row>
      <xdr:rowOff>6350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138555" y="252857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213</xdr:row>
      <xdr:rowOff>1270</xdr:rowOff>
    </xdr:from>
    <xdr:to>
      <xdr:col>5</xdr:col>
      <xdr:colOff>407745</xdr:colOff>
      <xdr:row>213</xdr:row>
      <xdr:rowOff>1905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136650" y="36939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 editAs="oneCell">
    <xdr:from>
      <xdr:col>8</xdr:col>
      <xdr:colOff>352424</xdr:colOff>
      <xdr:row>0</xdr:row>
      <xdr:rowOff>104775</xdr:rowOff>
    </xdr:from>
    <xdr:to>
      <xdr:col>10</xdr:col>
      <xdr:colOff>1212034</xdr:colOff>
      <xdr:row>2</xdr:row>
      <xdr:rowOff>171450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0874" y="104775"/>
          <a:ext cx="2968964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5080</xdr:colOff>
      <xdr:row>148</xdr:row>
      <xdr:rowOff>6350</xdr:rowOff>
    </xdr:from>
    <xdr:to>
      <xdr:col>5</xdr:col>
      <xdr:colOff>150872</xdr:colOff>
      <xdr:row>148</xdr:row>
      <xdr:rowOff>6350</xdr:rowOff>
    </xdr:to>
    <xdr:sp macro="" textlink="">
      <xdr:nvSpPr>
        <xdr:cNvPr id="13" name="Text Box 6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138555" y="252857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213</xdr:row>
      <xdr:rowOff>1270</xdr:rowOff>
    </xdr:from>
    <xdr:to>
      <xdr:col>5</xdr:col>
      <xdr:colOff>407745</xdr:colOff>
      <xdr:row>213</xdr:row>
      <xdr:rowOff>1905</xdr:rowOff>
    </xdr:to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136650" y="36939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762000</xdr:colOff>
      <xdr:row>1</xdr:row>
      <xdr:rowOff>47625</xdr:rowOff>
    </xdr:from>
    <xdr:to>
      <xdr:col>6</xdr:col>
      <xdr:colOff>837962</xdr:colOff>
      <xdr:row>3</xdr:row>
      <xdr:rowOff>122959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5" y="285750"/>
          <a:ext cx="2981087" cy="55158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809625</xdr:colOff>
      <xdr:row>2</xdr:row>
      <xdr:rowOff>0</xdr:rowOff>
    </xdr:from>
    <xdr:to>
      <xdr:col>0</xdr:col>
      <xdr:colOff>3416012</xdr:colOff>
      <xdr:row>6</xdr:row>
      <xdr:rowOff>59750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476250"/>
          <a:ext cx="2606387" cy="101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1</xdr:row>
      <xdr:rowOff>0</xdr:rowOff>
    </xdr:from>
    <xdr:to>
      <xdr:col>6</xdr:col>
      <xdr:colOff>152400</xdr:colOff>
      <xdr:row>2</xdr:row>
      <xdr:rowOff>220135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190500"/>
          <a:ext cx="2143125" cy="45826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266700</xdr:colOff>
      <xdr:row>0</xdr:row>
      <xdr:rowOff>95250</xdr:rowOff>
    </xdr:from>
    <xdr:ext cx="971550" cy="695325"/>
    <xdr:pic>
      <xdr:nvPicPr>
        <xdr:cNvPr id="3" name="9 Imagen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5250"/>
          <a:ext cx="9715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971550" cy="695325"/>
    <xdr:pic>
      <xdr:nvPicPr>
        <xdr:cNvPr id="2" name="9 Image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9715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71550" cy="695325"/>
    <xdr:pic>
      <xdr:nvPicPr>
        <xdr:cNvPr id="6" name="9 Imagen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9715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1638300</xdr:colOff>
      <xdr:row>2</xdr:row>
      <xdr:rowOff>85725</xdr:rowOff>
    </xdr:from>
    <xdr:to>
      <xdr:col>4</xdr:col>
      <xdr:colOff>952262</xdr:colOff>
      <xdr:row>5</xdr:row>
      <xdr:rowOff>65809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466725"/>
          <a:ext cx="2981087" cy="55158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200025</xdr:colOff>
      <xdr:row>0</xdr:row>
      <xdr:rowOff>171450</xdr:rowOff>
    </xdr:from>
    <xdr:to>
      <xdr:col>2</xdr:col>
      <xdr:colOff>569853</xdr:colOff>
      <xdr:row>3</xdr:row>
      <xdr:rowOff>144609</xdr:rowOff>
    </xdr:to>
    <xdr:pic>
      <xdr:nvPicPr>
        <xdr:cNvPr id="9" name="Imagen 1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3579753" cy="544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391833" cy="1711803"/>
    <xdr:pic>
      <xdr:nvPicPr>
        <xdr:cNvPr id="4" name="9 Imagen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91833" cy="1711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168275</xdr:colOff>
      <xdr:row>0</xdr:row>
      <xdr:rowOff>0</xdr:rowOff>
    </xdr:from>
    <xdr:to>
      <xdr:col>6</xdr:col>
      <xdr:colOff>783167</xdr:colOff>
      <xdr:row>4</xdr:row>
      <xdr:rowOff>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8942" y="0"/>
          <a:ext cx="2911475" cy="8466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249998</xdr:colOff>
      <xdr:row>0</xdr:row>
      <xdr:rowOff>208572</xdr:rowOff>
    </xdr:from>
    <xdr:to>
      <xdr:col>13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115847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304800</xdr:colOff>
      <xdr:row>0</xdr:row>
      <xdr:rowOff>209722</xdr:rowOff>
    </xdr:from>
    <xdr:to>
      <xdr:col>0</xdr:col>
      <xdr:colOff>2476500</xdr:colOff>
      <xdr:row>3</xdr:row>
      <xdr:rowOff>180975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09722"/>
          <a:ext cx="2171700" cy="685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933450</xdr:colOff>
      <xdr:row>0</xdr:row>
      <xdr:rowOff>161925</xdr:rowOff>
    </xdr:from>
    <xdr:to>
      <xdr:col>13</xdr:col>
      <xdr:colOff>657225</xdr:colOff>
      <xdr:row>3</xdr:row>
      <xdr:rowOff>124885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0" y="161925"/>
          <a:ext cx="3552825" cy="6773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123825</xdr:rowOff>
    </xdr:from>
    <xdr:ext cx="1333500" cy="848616"/>
    <xdr:pic>
      <xdr:nvPicPr>
        <xdr:cNvPr id="26" name="Imagen 1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1333500" cy="848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114300</xdr:colOff>
      <xdr:row>0</xdr:row>
      <xdr:rowOff>0</xdr:rowOff>
    </xdr:from>
    <xdr:to>
      <xdr:col>3</xdr:col>
      <xdr:colOff>1028700</xdr:colOff>
      <xdr:row>5</xdr:row>
      <xdr:rowOff>104775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0"/>
          <a:ext cx="2466975" cy="1162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1362075</xdr:colOff>
      <xdr:row>3</xdr:row>
      <xdr:rowOff>219075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124075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90</xdr:row>
      <xdr:rowOff>66675</xdr:rowOff>
    </xdr:from>
    <xdr:to>
      <xdr:col>2</xdr:col>
      <xdr:colOff>209550</xdr:colOff>
      <xdr:row>94</xdr:row>
      <xdr:rowOff>161925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4248150" y="17383125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9525</xdr:colOff>
      <xdr:row>92</xdr:row>
      <xdr:rowOff>57150</xdr:rowOff>
    </xdr:from>
    <xdr:to>
      <xdr:col>0</xdr:col>
      <xdr:colOff>1743075</xdr:colOff>
      <xdr:row>94</xdr:row>
      <xdr:rowOff>123825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7754600"/>
          <a:ext cx="1733550" cy="447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1895475</xdr:colOff>
      <xdr:row>90</xdr:row>
      <xdr:rowOff>57150</xdr:rowOff>
    </xdr:from>
    <xdr:to>
      <xdr:col>0</xdr:col>
      <xdr:colOff>3571875</xdr:colOff>
      <xdr:row>98</xdr:row>
      <xdr:rowOff>152400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12" t="1714" r="6763" b="1142"/>
        <a:stretch/>
      </xdr:blipFill>
      <xdr:spPr bwMode="auto">
        <a:xfrm>
          <a:off x="1895475" y="17373600"/>
          <a:ext cx="1676400" cy="1619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er%20Domenech/Downloads/CHEQUES%20Y%20TRANSFERENCIA%20DICIEMBR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ancisco.villabrile/Downloads/CONSOLIDADOS%20CECANOT-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er%20Domenech/Downloads/CONSOLIDADOS%20CECANOT-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er%20Domenech/Downloads/Informacion%20Lic%20vi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RAMIENTOS"/>
      <sheetName val="CHEQUE"/>
      <sheetName val="TRANSFERENCIA"/>
    </sheetNames>
    <sheetDataSet>
      <sheetData sheetId="0" refreshError="1">
        <row r="75">
          <cell r="E75">
            <v>66413</v>
          </cell>
        </row>
      </sheetData>
      <sheetData sheetId="1" refreshError="1"/>
      <sheetData sheetId="2" refreshError="1">
        <row r="9">
          <cell r="E9">
            <v>177000</v>
          </cell>
        </row>
        <row r="10">
          <cell r="E10">
            <v>1307298.3999999999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</sheetNames>
    <sheetDataSet>
      <sheetData sheetId="0">
        <row r="25">
          <cell r="J25">
            <v>37294017.25</v>
          </cell>
        </row>
      </sheetData>
      <sheetData sheetId="1">
        <row r="25">
          <cell r="J25">
            <v>74551541.099999994</v>
          </cell>
        </row>
      </sheetData>
      <sheetData sheetId="2">
        <row r="26">
          <cell r="J26">
            <v>90482835.530000001</v>
          </cell>
        </row>
      </sheetData>
      <sheetData sheetId="3">
        <row r="26">
          <cell r="J26">
            <v>55112672.530000001</v>
          </cell>
        </row>
      </sheetData>
      <sheetData sheetId="4">
        <row r="26">
          <cell r="I26">
            <v>685083.72</v>
          </cell>
          <cell r="J26">
            <v>61120719.520000011</v>
          </cell>
        </row>
      </sheetData>
      <sheetData sheetId="5">
        <row r="25">
          <cell r="I25">
            <v>685083.72</v>
          </cell>
          <cell r="J25">
            <v>54230430.670000002</v>
          </cell>
        </row>
      </sheetData>
      <sheetData sheetId="6">
        <row r="25">
          <cell r="J25">
            <v>124884570.66999999</v>
          </cell>
        </row>
      </sheetData>
      <sheetData sheetId="7">
        <row r="25">
          <cell r="I25">
            <v>685083.72</v>
          </cell>
          <cell r="J25">
            <v>76134876.150999993</v>
          </cell>
        </row>
      </sheetData>
      <sheetData sheetId="8">
        <row r="25">
          <cell r="I25">
            <v>891749.78</v>
          </cell>
          <cell r="J25">
            <v>96894197.239999995</v>
          </cell>
        </row>
      </sheetData>
      <sheetData sheetId="9">
        <row r="25">
          <cell r="I25">
            <v>891749.78</v>
          </cell>
          <cell r="J25">
            <v>118160372.96000001</v>
          </cell>
        </row>
      </sheetData>
      <sheetData sheetId="10">
        <row r="25">
          <cell r="I25">
            <v>891749.78</v>
          </cell>
          <cell r="J25">
            <v>85062450.526000008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</sheetNames>
    <sheetDataSet>
      <sheetData sheetId="0"/>
      <sheetData sheetId="1">
        <row r="27">
          <cell r="H27">
            <v>3293635.0500000003</v>
          </cell>
        </row>
        <row r="53">
          <cell r="H53">
            <v>66413</v>
          </cell>
        </row>
        <row r="80">
          <cell r="H80">
            <v>255333.91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S"/>
      <sheetName val="OBLIGACIONES"/>
      <sheetName val="INGRESOS SEGUN ORIGEN"/>
      <sheetName val="MODELO DEUDA"/>
      <sheetName val="DEUDA POR OBJETO DEL GTO"/>
    </sheetNames>
    <sheetDataSet>
      <sheetData sheetId="0" refreshError="1"/>
      <sheetData sheetId="1" refreshError="1"/>
      <sheetData sheetId="2" refreshError="1"/>
      <sheetData sheetId="3">
        <row r="8">
          <cell r="F8">
            <v>1243271.6399999999</v>
          </cell>
        </row>
        <row r="9">
          <cell r="E9">
            <v>619191.98</v>
          </cell>
        </row>
        <row r="10">
          <cell r="F10">
            <v>223500</v>
          </cell>
        </row>
        <row r="11">
          <cell r="E11">
            <v>3600000</v>
          </cell>
          <cell r="F11">
            <v>48000</v>
          </cell>
        </row>
        <row r="12">
          <cell r="F12">
            <v>619618</v>
          </cell>
        </row>
        <row r="13">
          <cell r="F13">
            <v>93000.52</v>
          </cell>
        </row>
        <row r="14">
          <cell r="F14">
            <v>7474397.5499999998</v>
          </cell>
        </row>
        <row r="15">
          <cell r="F15">
            <v>19980</v>
          </cell>
        </row>
        <row r="16">
          <cell r="F16">
            <v>31680</v>
          </cell>
        </row>
        <row r="17">
          <cell r="F17">
            <v>258615</v>
          </cell>
        </row>
        <row r="18">
          <cell r="E18">
            <v>100000</v>
          </cell>
        </row>
        <row r="19">
          <cell r="F19">
            <v>76853.399999999994</v>
          </cell>
        </row>
        <row r="20">
          <cell r="F20">
            <v>90000</v>
          </cell>
        </row>
        <row r="21">
          <cell r="F21">
            <v>496500</v>
          </cell>
        </row>
        <row r="22">
          <cell r="F22">
            <v>32800</v>
          </cell>
        </row>
        <row r="23">
          <cell r="F23">
            <v>35260</v>
          </cell>
        </row>
        <row r="24">
          <cell r="F24">
            <v>120260</v>
          </cell>
        </row>
        <row r="25">
          <cell r="E25">
            <v>12032.44</v>
          </cell>
          <cell r="F25">
            <v>2829168</v>
          </cell>
        </row>
        <row r="26">
          <cell r="E26">
            <v>265500</v>
          </cell>
        </row>
        <row r="27">
          <cell r="F27">
            <v>171000</v>
          </cell>
        </row>
        <row r="28">
          <cell r="F28">
            <v>5000</v>
          </cell>
        </row>
        <row r="29">
          <cell r="F29">
            <v>552531.32000000007</v>
          </cell>
        </row>
        <row r="30">
          <cell r="F30">
            <v>554050</v>
          </cell>
        </row>
        <row r="31">
          <cell r="F31">
            <v>531944</v>
          </cell>
        </row>
        <row r="32">
          <cell r="F32">
            <v>200600</v>
          </cell>
        </row>
        <row r="33">
          <cell r="F33">
            <v>934169.79999999993</v>
          </cell>
        </row>
        <row r="34">
          <cell r="F34">
            <v>823200</v>
          </cell>
        </row>
        <row r="35">
          <cell r="F35">
            <v>165940.9</v>
          </cell>
        </row>
        <row r="36">
          <cell r="F36">
            <v>33299.760000000002</v>
          </cell>
        </row>
        <row r="37">
          <cell r="E37">
            <v>99733.37</v>
          </cell>
          <cell r="F37">
            <v>427295.7</v>
          </cell>
        </row>
        <row r="38">
          <cell r="F38">
            <v>888799.8</v>
          </cell>
        </row>
        <row r="39">
          <cell r="F39">
            <v>94400</v>
          </cell>
        </row>
        <row r="40">
          <cell r="F40">
            <v>6842.82</v>
          </cell>
        </row>
        <row r="41">
          <cell r="F41">
            <v>10620</v>
          </cell>
        </row>
        <row r="42">
          <cell r="E42">
            <v>1067623.1000000001</v>
          </cell>
        </row>
        <row r="43">
          <cell r="F43">
            <v>608880</v>
          </cell>
        </row>
        <row r="44">
          <cell r="F44">
            <v>51040</v>
          </cell>
        </row>
        <row r="45">
          <cell r="F45">
            <v>2344150</v>
          </cell>
        </row>
        <row r="46">
          <cell r="F46">
            <v>419200</v>
          </cell>
        </row>
        <row r="47">
          <cell r="F47">
            <v>140650.75</v>
          </cell>
        </row>
        <row r="48">
          <cell r="F48">
            <v>3467076</v>
          </cell>
        </row>
        <row r="49">
          <cell r="F49">
            <v>654758.40000000002</v>
          </cell>
        </row>
        <row r="50">
          <cell r="F50">
            <v>1615374.8699999999</v>
          </cell>
        </row>
        <row r="51">
          <cell r="F51">
            <v>1056000</v>
          </cell>
        </row>
        <row r="52">
          <cell r="F52">
            <v>2757500</v>
          </cell>
        </row>
        <row r="53">
          <cell r="E53">
            <v>750000</v>
          </cell>
        </row>
        <row r="54">
          <cell r="F54">
            <v>100313.97</v>
          </cell>
        </row>
        <row r="55">
          <cell r="E55">
            <v>93600</v>
          </cell>
        </row>
        <row r="56">
          <cell r="F56">
            <v>227177.14</v>
          </cell>
        </row>
        <row r="57">
          <cell r="F57">
            <v>650000</v>
          </cell>
        </row>
        <row r="58">
          <cell r="F58">
            <v>522150</v>
          </cell>
        </row>
        <row r="59">
          <cell r="E59">
            <v>110626.5</v>
          </cell>
          <cell r="F59">
            <v>414635</v>
          </cell>
        </row>
        <row r="60">
          <cell r="F60">
            <v>470540</v>
          </cell>
        </row>
        <row r="61">
          <cell r="E61">
            <v>2880000</v>
          </cell>
          <cell r="F61">
            <v>1723500</v>
          </cell>
        </row>
        <row r="62">
          <cell r="F62">
            <v>8330942.3999999994</v>
          </cell>
        </row>
        <row r="63">
          <cell r="F63">
            <v>248289</v>
          </cell>
        </row>
        <row r="64">
          <cell r="F64">
            <v>281120</v>
          </cell>
        </row>
        <row r="65">
          <cell r="E65">
            <v>543443.27</v>
          </cell>
        </row>
        <row r="66">
          <cell r="F66">
            <v>4242015.26</v>
          </cell>
        </row>
        <row r="67">
          <cell r="F67">
            <v>88264</v>
          </cell>
        </row>
        <row r="68">
          <cell r="F68">
            <v>56000</v>
          </cell>
        </row>
        <row r="69">
          <cell r="F69">
            <v>226642.81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8"/>
  <sheetViews>
    <sheetView topLeftCell="A22" zoomScale="110" zoomScaleNormal="110" workbookViewId="0">
      <selection activeCell="A6" sqref="A6:K6"/>
    </sheetView>
  </sheetViews>
  <sheetFormatPr baseColWidth="10" defaultRowHeight="12.75" x14ac:dyDescent="0.2"/>
  <cols>
    <col min="1" max="1" width="3.28515625" style="60" customWidth="1"/>
    <col min="2" max="2" width="4.140625" style="60" customWidth="1"/>
    <col min="3" max="3" width="2.85546875" style="60" customWidth="1"/>
    <col min="4" max="4" width="3.5703125" style="60" customWidth="1"/>
    <col min="5" max="5" width="3.140625" style="60" customWidth="1"/>
    <col min="6" max="6" width="51" style="60" customWidth="1"/>
    <col min="7" max="7" width="16.42578125" style="60" customWidth="1"/>
    <col min="8" max="8" width="17.140625" style="60" customWidth="1"/>
    <col min="9" max="9" width="15" style="60" customWidth="1"/>
    <col min="10" max="10" width="16.7109375" style="60" customWidth="1"/>
    <col min="11" max="11" width="19.28515625" style="60" customWidth="1"/>
    <col min="12" max="12" width="14.140625" style="60" bestFit="1" customWidth="1"/>
    <col min="13" max="13" width="12.7109375" style="60" bestFit="1" customWidth="1"/>
    <col min="14" max="253" width="11.42578125" style="60"/>
    <col min="254" max="254" width="3.28515625" style="60" customWidth="1"/>
    <col min="255" max="255" width="4.140625" style="60" customWidth="1"/>
    <col min="256" max="256" width="2.85546875" style="60" customWidth="1"/>
    <col min="257" max="257" width="3.5703125" style="60" customWidth="1"/>
    <col min="258" max="258" width="3.140625" style="60" customWidth="1"/>
    <col min="259" max="259" width="51" style="60" customWidth="1"/>
    <col min="260" max="261" width="11.5703125" style="60" bestFit="1" customWidth="1"/>
    <col min="262" max="262" width="13.28515625" style="60" bestFit="1" customWidth="1"/>
    <col min="263" max="263" width="11.5703125" style="60" bestFit="1" customWidth="1"/>
    <col min="264" max="264" width="12.28515625" style="60" bestFit="1" customWidth="1"/>
    <col min="265" max="265" width="13.42578125" style="60" customWidth="1"/>
    <col min="266" max="266" width="13.28515625" style="60" bestFit="1" customWidth="1"/>
    <col min="267" max="267" width="11.5703125" style="60" bestFit="1" customWidth="1"/>
    <col min="268" max="509" width="11.42578125" style="60"/>
    <col min="510" max="510" width="3.28515625" style="60" customWidth="1"/>
    <col min="511" max="511" width="4.140625" style="60" customWidth="1"/>
    <col min="512" max="512" width="2.85546875" style="60" customWidth="1"/>
    <col min="513" max="513" width="3.5703125" style="60" customWidth="1"/>
    <col min="514" max="514" width="3.140625" style="60" customWidth="1"/>
    <col min="515" max="515" width="51" style="60" customWidth="1"/>
    <col min="516" max="517" width="11.5703125" style="60" bestFit="1" customWidth="1"/>
    <col min="518" max="518" width="13.28515625" style="60" bestFit="1" customWidth="1"/>
    <col min="519" max="519" width="11.5703125" style="60" bestFit="1" customWidth="1"/>
    <col min="520" max="520" width="12.28515625" style="60" bestFit="1" customWidth="1"/>
    <col min="521" max="521" width="13.42578125" style="60" customWidth="1"/>
    <col min="522" max="522" width="13.28515625" style="60" bestFit="1" customWidth="1"/>
    <col min="523" max="523" width="11.5703125" style="60" bestFit="1" customWidth="1"/>
    <col min="524" max="765" width="11.42578125" style="60"/>
    <col min="766" max="766" width="3.28515625" style="60" customWidth="1"/>
    <col min="767" max="767" width="4.140625" style="60" customWidth="1"/>
    <col min="768" max="768" width="2.85546875" style="60" customWidth="1"/>
    <col min="769" max="769" width="3.5703125" style="60" customWidth="1"/>
    <col min="770" max="770" width="3.140625" style="60" customWidth="1"/>
    <col min="771" max="771" width="51" style="60" customWidth="1"/>
    <col min="772" max="773" width="11.5703125" style="60" bestFit="1" customWidth="1"/>
    <col min="774" max="774" width="13.28515625" style="60" bestFit="1" customWidth="1"/>
    <col min="775" max="775" width="11.5703125" style="60" bestFit="1" customWidth="1"/>
    <col min="776" max="776" width="12.28515625" style="60" bestFit="1" customWidth="1"/>
    <col min="777" max="777" width="13.42578125" style="60" customWidth="1"/>
    <col min="778" max="778" width="13.28515625" style="60" bestFit="1" customWidth="1"/>
    <col min="779" max="779" width="11.5703125" style="60" bestFit="1" customWidth="1"/>
    <col min="780" max="1021" width="11.42578125" style="60"/>
    <col min="1022" max="1022" width="3.28515625" style="60" customWidth="1"/>
    <col min="1023" max="1023" width="4.140625" style="60" customWidth="1"/>
    <col min="1024" max="1024" width="2.85546875" style="60" customWidth="1"/>
    <col min="1025" max="1025" width="3.5703125" style="60" customWidth="1"/>
    <col min="1026" max="1026" width="3.140625" style="60" customWidth="1"/>
    <col min="1027" max="1027" width="51" style="60" customWidth="1"/>
    <col min="1028" max="1029" width="11.5703125" style="60" bestFit="1" customWidth="1"/>
    <col min="1030" max="1030" width="13.28515625" style="60" bestFit="1" customWidth="1"/>
    <col min="1031" max="1031" width="11.5703125" style="60" bestFit="1" customWidth="1"/>
    <col min="1032" max="1032" width="12.28515625" style="60" bestFit="1" customWidth="1"/>
    <col min="1033" max="1033" width="13.42578125" style="60" customWidth="1"/>
    <col min="1034" max="1034" width="13.28515625" style="60" bestFit="1" customWidth="1"/>
    <col min="1035" max="1035" width="11.5703125" style="60" bestFit="1" customWidth="1"/>
    <col min="1036" max="1277" width="11.42578125" style="60"/>
    <col min="1278" max="1278" width="3.28515625" style="60" customWidth="1"/>
    <col min="1279" max="1279" width="4.140625" style="60" customWidth="1"/>
    <col min="1280" max="1280" width="2.85546875" style="60" customWidth="1"/>
    <col min="1281" max="1281" width="3.5703125" style="60" customWidth="1"/>
    <col min="1282" max="1282" width="3.140625" style="60" customWidth="1"/>
    <col min="1283" max="1283" width="51" style="60" customWidth="1"/>
    <col min="1284" max="1285" width="11.5703125" style="60" bestFit="1" customWidth="1"/>
    <col min="1286" max="1286" width="13.28515625" style="60" bestFit="1" customWidth="1"/>
    <col min="1287" max="1287" width="11.5703125" style="60" bestFit="1" customWidth="1"/>
    <col min="1288" max="1288" width="12.28515625" style="60" bestFit="1" customWidth="1"/>
    <col min="1289" max="1289" width="13.42578125" style="60" customWidth="1"/>
    <col min="1290" max="1290" width="13.28515625" style="60" bestFit="1" customWidth="1"/>
    <col min="1291" max="1291" width="11.5703125" style="60" bestFit="1" customWidth="1"/>
    <col min="1292" max="1533" width="11.42578125" style="60"/>
    <col min="1534" max="1534" width="3.28515625" style="60" customWidth="1"/>
    <col min="1535" max="1535" width="4.140625" style="60" customWidth="1"/>
    <col min="1536" max="1536" width="2.85546875" style="60" customWidth="1"/>
    <col min="1537" max="1537" width="3.5703125" style="60" customWidth="1"/>
    <col min="1538" max="1538" width="3.140625" style="60" customWidth="1"/>
    <col min="1539" max="1539" width="51" style="60" customWidth="1"/>
    <col min="1540" max="1541" width="11.5703125" style="60" bestFit="1" customWidth="1"/>
    <col min="1542" max="1542" width="13.28515625" style="60" bestFit="1" customWidth="1"/>
    <col min="1543" max="1543" width="11.5703125" style="60" bestFit="1" customWidth="1"/>
    <col min="1544" max="1544" width="12.28515625" style="60" bestFit="1" customWidth="1"/>
    <col min="1545" max="1545" width="13.42578125" style="60" customWidth="1"/>
    <col min="1546" max="1546" width="13.28515625" style="60" bestFit="1" customWidth="1"/>
    <col min="1547" max="1547" width="11.5703125" style="60" bestFit="1" customWidth="1"/>
    <col min="1548" max="1789" width="11.42578125" style="60"/>
    <col min="1790" max="1790" width="3.28515625" style="60" customWidth="1"/>
    <col min="1791" max="1791" width="4.140625" style="60" customWidth="1"/>
    <col min="1792" max="1792" width="2.85546875" style="60" customWidth="1"/>
    <col min="1793" max="1793" width="3.5703125" style="60" customWidth="1"/>
    <col min="1794" max="1794" width="3.140625" style="60" customWidth="1"/>
    <col min="1795" max="1795" width="51" style="60" customWidth="1"/>
    <col min="1796" max="1797" width="11.5703125" style="60" bestFit="1" customWidth="1"/>
    <col min="1798" max="1798" width="13.28515625" style="60" bestFit="1" customWidth="1"/>
    <col min="1799" max="1799" width="11.5703125" style="60" bestFit="1" customWidth="1"/>
    <col min="1800" max="1800" width="12.28515625" style="60" bestFit="1" customWidth="1"/>
    <col min="1801" max="1801" width="13.42578125" style="60" customWidth="1"/>
    <col min="1802" max="1802" width="13.28515625" style="60" bestFit="1" customWidth="1"/>
    <col min="1803" max="1803" width="11.5703125" style="60" bestFit="1" customWidth="1"/>
    <col min="1804" max="2045" width="11.42578125" style="60"/>
    <col min="2046" max="2046" width="3.28515625" style="60" customWidth="1"/>
    <col min="2047" max="2047" width="4.140625" style="60" customWidth="1"/>
    <col min="2048" max="2048" width="2.85546875" style="60" customWidth="1"/>
    <col min="2049" max="2049" width="3.5703125" style="60" customWidth="1"/>
    <col min="2050" max="2050" width="3.140625" style="60" customWidth="1"/>
    <col min="2051" max="2051" width="51" style="60" customWidth="1"/>
    <col min="2052" max="2053" width="11.5703125" style="60" bestFit="1" customWidth="1"/>
    <col min="2054" max="2054" width="13.28515625" style="60" bestFit="1" customWidth="1"/>
    <col min="2055" max="2055" width="11.5703125" style="60" bestFit="1" customWidth="1"/>
    <col min="2056" max="2056" width="12.28515625" style="60" bestFit="1" customWidth="1"/>
    <col min="2057" max="2057" width="13.42578125" style="60" customWidth="1"/>
    <col min="2058" max="2058" width="13.28515625" style="60" bestFit="1" customWidth="1"/>
    <col min="2059" max="2059" width="11.5703125" style="60" bestFit="1" customWidth="1"/>
    <col min="2060" max="2301" width="11.42578125" style="60"/>
    <col min="2302" max="2302" width="3.28515625" style="60" customWidth="1"/>
    <col min="2303" max="2303" width="4.140625" style="60" customWidth="1"/>
    <col min="2304" max="2304" width="2.85546875" style="60" customWidth="1"/>
    <col min="2305" max="2305" width="3.5703125" style="60" customWidth="1"/>
    <col min="2306" max="2306" width="3.140625" style="60" customWidth="1"/>
    <col min="2307" max="2307" width="51" style="60" customWidth="1"/>
    <col min="2308" max="2309" width="11.5703125" style="60" bestFit="1" customWidth="1"/>
    <col min="2310" max="2310" width="13.28515625" style="60" bestFit="1" customWidth="1"/>
    <col min="2311" max="2311" width="11.5703125" style="60" bestFit="1" customWidth="1"/>
    <col min="2312" max="2312" width="12.28515625" style="60" bestFit="1" customWidth="1"/>
    <col min="2313" max="2313" width="13.42578125" style="60" customWidth="1"/>
    <col min="2314" max="2314" width="13.28515625" style="60" bestFit="1" customWidth="1"/>
    <col min="2315" max="2315" width="11.5703125" style="60" bestFit="1" customWidth="1"/>
    <col min="2316" max="2557" width="11.42578125" style="60"/>
    <col min="2558" max="2558" width="3.28515625" style="60" customWidth="1"/>
    <col min="2559" max="2559" width="4.140625" style="60" customWidth="1"/>
    <col min="2560" max="2560" width="2.85546875" style="60" customWidth="1"/>
    <col min="2561" max="2561" width="3.5703125" style="60" customWidth="1"/>
    <col min="2562" max="2562" width="3.140625" style="60" customWidth="1"/>
    <col min="2563" max="2563" width="51" style="60" customWidth="1"/>
    <col min="2564" max="2565" width="11.5703125" style="60" bestFit="1" customWidth="1"/>
    <col min="2566" max="2566" width="13.28515625" style="60" bestFit="1" customWidth="1"/>
    <col min="2567" max="2567" width="11.5703125" style="60" bestFit="1" customWidth="1"/>
    <col min="2568" max="2568" width="12.28515625" style="60" bestFit="1" customWidth="1"/>
    <col min="2569" max="2569" width="13.42578125" style="60" customWidth="1"/>
    <col min="2570" max="2570" width="13.28515625" style="60" bestFit="1" customWidth="1"/>
    <col min="2571" max="2571" width="11.5703125" style="60" bestFit="1" customWidth="1"/>
    <col min="2572" max="2813" width="11.42578125" style="60"/>
    <col min="2814" max="2814" width="3.28515625" style="60" customWidth="1"/>
    <col min="2815" max="2815" width="4.140625" style="60" customWidth="1"/>
    <col min="2816" max="2816" width="2.85546875" style="60" customWidth="1"/>
    <col min="2817" max="2817" width="3.5703125" style="60" customWidth="1"/>
    <col min="2818" max="2818" width="3.140625" style="60" customWidth="1"/>
    <col min="2819" max="2819" width="51" style="60" customWidth="1"/>
    <col min="2820" max="2821" width="11.5703125" style="60" bestFit="1" customWidth="1"/>
    <col min="2822" max="2822" width="13.28515625" style="60" bestFit="1" customWidth="1"/>
    <col min="2823" max="2823" width="11.5703125" style="60" bestFit="1" customWidth="1"/>
    <col min="2824" max="2824" width="12.28515625" style="60" bestFit="1" customWidth="1"/>
    <col min="2825" max="2825" width="13.42578125" style="60" customWidth="1"/>
    <col min="2826" max="2826" width="13.28515625" style="60" bestFit="1" customWidth="1"/>
    <col min="2827" max="2827" width="11.5703125" style="60" bestFit="1" customWidth="1"/>
    <col min="2828" max="3069" width="11.42578125" style="60"/>
    <col min="3070" max="3070" width="3.28515625" style="60" customWidth="1"/>
    <col min="3071" max="3071" width="4.140625" style="60" customWidth="1"/>
    <col min="3072" max="3072" width="2.85546875" style="60" customWidth="1"/>
    <col min="3073" max="3073" width="3.5703125" style="60" customWidth="1"/>
    <col min="3074" max="3074" width="3.140625" style="60" customWidth="1"/>
    <col min="3075" max="3075" width="51" style="60" customWidth="1"/>
    <col min="3076" max="3077" width="11.5703125" style="60" bestFit="1" customWidth="1"/>
    <col min="3078" max="3078" width="13.28515625" style="60" bestFit="1" customWidth="1"/>
    <col min="3079" max="3079" width="11.5703125" style="60" bestFit="1" customWidth="1"/>
    <col min="3080" max="3080" width="12.28515625" style="60" bestFit="1" customWidth="1"/>
    <col min="3081" max="3081" width="13.42578125" style="60" customWidth="1"/>
    <col min="3082" max="3082" width="13.28515625" style="60" bestFit="1" customWidth="1"/>
    <col min="3083" max="3083" width="11.5703125" style="60" bestFit="1" customWidth="1"/>
    <col min="3084" max="3325" width="11.42578125" style="60"/>
    <col min="3326" max="3326" width="3.28515625" style="60" customWidth="1"/>
    <col min="3327" max="3327" width="4.140625" style="60" customWidth="1"/>
    <col min="3328" max="3328" width="2.85546875" style="60" customWidth="1"/>
    <col min="3329" max="3329" width="3.5703125" style="60" customWidth="1"/>
    <col min="3330" max="3330" width="3.140625" style="60" customWidth="1"/>
    <col min="3331" max="3331" width="51" style="60" customWidth="1"/>
    <col min="3332" max="3333" width="11.5703125" style="60" bestFit="1" customWidth="1"/>
    <col min="3334" max="3334" width="13.28515625" style="60" bestFit="1" customWidth="1"/>
    <col min="3335" max="3335" width="11.5703125" style="60" bestFit="1" customWidth="1"/>
    <col min="3336" max="3336" width="12.28515625" style="60" bestFit="1" customWidth="1"/>
    <col min="3337" max="3337" width="13.42578125" style="60" customWidth="1"/>
    <col min="3338" max="3338" width="13.28515625" style="60" bestFit="1" customWidth="1"/>
    <col min="3339" max="3339" width="11.5703125" style="60" bestFit="1" customWidth="1"/>
    <col min="3340" max="3581" width="11.42578125" style="60"/>
    <col min="3582" max="3582" width="3.28515625" style="60" customWidth="1"/>
    <col min="3583" max="3583" width="4.140625" style="60" customWidth="1"/>
    <col min="3584" max="3584" width="2.85546875" style="60" customWidth="1"/>
    <col min="3585" max="3585" width="3.5703125" style="60" customWidth="1"/>
    <col min="3586" max="3586" width="3.140625" style="60" customWidth="1"/>
    <col min="3587" max="3587" width="51" style="60" customWidth="1"/>
    <col min="3588" max="3589" width="11.5703125" style="60" bestFit="1" customWidth="1"/>
    <col min="3590" max="3590" width="13.28515625" style="60" bestFit="1" customWidth="1"/>
    <col min="3591" max="3591" width="11.5703125" style="60" bestFit="1" customWidth="1"/>
    <col min="3592" max="3592" width="12.28515625" style="60" bestFit="1" customWidth="1"/>
    <col min="3593" max="3593" width="13.42578125" style="60" customWidth="1"/>
    <col min="3594" max="3594" width="13.28515625" style="60" bestFit="1" customWidth="1"/>
    <col min="3595" max="3595" width="11.5703125" style="60" bestFit="1" customWidth="1"/>
    <col min="3596" max="3837" width="11.42578125" style="60"/>
    <col min="3838" max="3838" width="3.28515625" style="60" customWidth="1"/>
    <col min="3839" max="3839" width="4.140625" style="60" customWidth="1"/>
    <col min="3840" max="3840" width="2.85546875" style="60" customWidth="1"/>
    <col min="3841" max="3841" width="3.5703125" style="60" customWidth="1"/>
    <col min="3842" max="3842" width="3.140625" style="60" customWidth="1"/>
    <col min="3843" max="3843" width="51" style="60" customWidth="1"/>
    <col min="3844" max="3845" width="11.5703125" style="60" bestFit="1" customWidth="1"/>
    <col min="3846" max="3846" width="13.28515625" style="60" bestFit="1" customWidth="1"/>
    <col min="3847" max="3847" width="11.5703125" style="60" bestFit="1" customWidth="1"/>
    <col min="3848" max="3848" width="12.28515625" style="60" bestFit="1" customWidth="1"/>
    <col min="3849" max="3849" width="13.42578125" style="60" customWidth="1"/>
    <col min="3850" max="3850" width="13.28515625" style="60" bestFit="1" customWidth="1"/>
    <col min="3851" max="3851" width="11.5703125" style="60" bestFit="1" customWidth="1"/>
    <col min="3852" max="4093" width="11.42578125" style="60"/>
    <col min="4094" max="4094" width="3.28515625" style="60" customWidth="1"/>
    <col min="4095" max="4095" width="4.140625" style="60" customWidth="1"/>
    <col min="4096" max="4096" width="2.85546875" style="60" customWidth="1"/>
    <col min="4097" max="4097" width="3.5703125" style="60" customWidth="1"/>
    <col min="4098" max="4098" width="3.140625" style="60" customWidth="1"/>
    <col min="4099" max="4099" width="51" style="60" customWidth="1"/>
    <col min="4100" max="4101" width="11.5703125" style="60" bestFit="1" customWidth="1"/>
    <col min="4102" max="4102" width="13.28515625" style="60" bestFit="1" customWidth="1"/>
    <col min="4103" max="4103" width="11.5703125" style="60" bestFit="1" customWidth="1"/>
    <col min="4104" max="4104" width="12.28515625" style="60" bestFit="1" customWidth="1"/>
    <col min="4105" max="4105" width="13.42578125" style="60" customWidth="1"/>
    <col min="4106" max="4106" width="13.28515625" style="60" bestFit="1" customWidth="1"/>
    <col min="4107" max="4107" width="11.5703125" style="60" bestFit="1" customWidth="1"/>
    <col min="4108" max="4349" width="11.42578125" style="60"/>
    <col min="4350" max="4350" width="3.28515625" style="60" customWidth="1"/>
    <col min="4351" max="4351" width="4.140625" style="60" customWidth="1"/>
    <col min="4352" max="4352" width="2.85546875" style="60" customWidth="1"/>
    <col min="4353" max="4353" width="3.5703125" style="60" customWidth="1"/>
    <col min="4354" max="4354" width="3.140625" style="60" customWidth="1"/>
    <col min="4355" max="4355" width="51" style="60" customWidth="1"/>
    <col min="4356" max="4357" width="11.5703125" style="60" bestFit="1" customWidth="1"/>
    <col min="4358" max="4358" width="13.28515625" style="60" bestFit="1" customWidth="1"/>
    <col min="4359" max="4359" width="11.5703125" style="60" bestFit="1" customWidth="1"/>
    <col min="4360" max="4360" width="12.28515625" style="60" bestFit="1" customWidth="1"/>
    <col min="4361" max="4361" width="13.42578125" style="60" customWidth="1"/>
    <col min="4362" max="4362" width="13.28515625" style="60" bestFit="1" customWidth="1"/>
    <col min="4363" max="4363" width="11.5703125" style="60" bestFit="1" customWidth="1"/>
    <col min="4364" max="4605" width="11.42578125" style="60"/>
    <col min="4606" max="4606" width="3.28515625" style="60" customWidth="1"/>
    <col min="4607" max="4607" width="4.140625" style="60" customWidth="1"/>
    <col min="4608" max="4608" width="2.85546875" style="60" customWidth="1"/>
    <col min="4609" max="4609" width="3.5703125" style="60" customWidth="1"/>
    <col min="4610" max="4610" width="3.140625" style="60" customWidth="1"/>
    <col min="4611" max="4611" width="51" style="60" customWidth="1"/>
    <col min="4612" max="4613" width="11.5703125" style="60" bestFit="1" customWidth="1"/>
    <col min="4614" max="4614" width="13.28515625" style="60" bestFit="1" customWidth="1"/>
    <col min="4615" max="4615" width="11.5703125" style="60" bestFit="1" customWidth="1"/>
    <col min="4616" max="4616" width="12.28515625" style="60" bestFit="1" customWidth="1"/>
    <col min="4617" max="4617" width="13.42578125" style="60" customWidth="1"/>
    <col min="4618" max="4618" width="13.28515625" style="60" bestFit="1" customWidth="1"/>
    <col min="4619" max="4619" width="11.5703125" style="60" bestFit="1" customWidth="1"/>
    <col min="4620" max="4861" width="11.42578125" style="60"/>
    <col min="4862" max="4862" width="3.28515625" style="60" customWidth="1"/>
    <col min="4863" max="4863" width="4.140625" style="60" customWidth="1"/>
    <col min="4864" max="4864" width="2.85546875" style="60" customWidth="1"/>
    <col min="4865" max="4865" width="3.5703125" style="60" customWidth="1"/>
    <col min="4866" max="4866" width="3.140625" style="60" customWidth="1"/>
    <col min="4867" max="4867" width="51" style="60" customWidth="1"/>
    <col min="4868" max="4869" width="11.5703125" style="60" bestFit="1" customWidth="1"/>
    <col min="4870" max="4870" width="13.28515625" style="60" bestFit="1" customWidth="1"/>
    <col min="4871" max="4871" width="11.5703125" style="60" bestFit="1" customWidth="1"/>
    <col min="4872" max="4872" width="12.28515625" style="60" bestFit="1" customWidth="1"/>
    <col min="4873" max="4873" width="13.42578125" style="60" customWidth="1"/>
    <col min="4874" max="4874" width="13.28515625" style="60" bestFit="1" customWidth="1"/>
    <col min="4875" max="4875" width="11.5703125" style="60" bestFit="1" customWidth="1"/>
    <col min="4876" max="5117" width="11.42578125" style="60"/>
    <col min="5118" max="5118" width="3.28515625" style="60" customWidth="1"/>
    <col min="5119" max="5119" width="4.140625" style="60" customWidth="1"/>
    <col min="5120" max="5120" width="2.85546875" style="60" customWidth="1"/>
    <col min="5121" max="5121" width="3.5703125" style="60" customWidth="1"/>
    <col min="5122" max="5122" width="3.140625" style="60" customWidth="1"/>
    <col min="5123" max="5123" width="51" style="60" customWidth="1"/>
    <col min="5124" max="5125" width="11.5703125" style="60" bestFit="1" customWidth="1"/>
    <col min="5126" max="5126" width="13.28515625" style="60" bestFit="1" customWidth="1"/>
    <col min="5127" max="5127" width="11.5703125" style="60" bestFit="1" customWidth="1"/>
    <col min="5128" max="5128" width="12.28515625" style="60" bestFit="1" customWidth="1"/>
    <col min="5129" max="5129" width="13.42578125" style="60" customWidth="1"/>
    <col min="5130" max="5130" width="13.28515625" style="60" bestFit="1" customWidth="1"/>
    <col min="5131" max="5131" width="11.5703125" style="60" bestFit="1" customWidth="1"/>
    <col min="5132" max="5373" width="11.42578125" style="60"/>
    <col min="5374" max="5374" width="3.28515625" style="60" customWidth="1"/>
    <col min="5375" max="5375" width="4.140625" style="60" customWidth="1"/>
    <col min="5376" max="5376" width="2.85546875" style="60" customWidth="1"/>
    <col min="5377" max="5377" width="3.5703125" style="60" customWidth="1"/>
    <col min="5378" max="5378" width="3.140625" style="60" customWidth="1"/>
    <col min="5379" max="5379" width="51" style="60" customWidth="1"/>
    <col min="5380" max="5381" width="11.5703125" style="60" bestFit="1" customWidth="1"/>
    <col min="5382" max="5382" width="13.28515625" style="60" bestFit="1" customWidth="1"/>
    <col min="5383" max="5383" width="11.5703125" style="60" bestFit="1" customWidth="1"/>
    <col min="5384" max="5384" width="12.28515625" style="60" bestFit="1" customWidth="1"/>
    <col min="5385" max="5385" width="13.42578125" style="60" customWidth="1"/>
    <col min="5386" max="5386" width="13.28515625" style="60" bestFit="1" customWidth="1"/>
    <col min="5387" max="5387" width="11.5703125" style="60" bestFit="1" customWidth="1"/>
    <col min="5388" max="5629" width="11.42578125" style="60"/>
    <col min="5630" max="5630" width="3.28515625" style="60" customWidth="1"/>
    <col min="5631" max="5631" width="4.140625" style="60" customWidth="1"/>
    <col min="5632" max="5632" width="2.85546875" style="60" customWidth="1"/>
    <col min="5633" max="5633" width="3.5703125" style="60" customWidth="1"/>
    <col min="5634" max="5634" width="3.140625" style="60" customWidth="1"/>
    <col min="5635" max="5635" width="51" style="60" customWidth="1"/>
    <col min="5636" max="5637" width="11.5703125" style="60" bestFit="1" customWidth="1"/>
    <col min="5638" max="5638" width="13.28515625" style="60" bestFit="1" customWidth="1"/>
    <col min="5639" max="5639" width="11.5703125" style="60" bestFit="1" customWidth="1"/>
    <col min="5640" max="5640" width="12.28515625" style="60" bestFit="1" customWidth="1"/>
    <col min="5641" max="5641" width="13.42578125" style="60" customWidth="1"/>
    <col min="5642" max="5642" width="13.28515625" style="60" bestFit="1" customWidth="1"/>
    <col min="5643" max="5643" width="11.5703125" style="60" bestFit="1" customWidth="1"/>
    <col min="5644" max="5885" width="11.42578125" style="60"/>
    <col min="5886" max="5886" width="3.28515625" style="60" customWidth="1"/>
    <col min="5887" max="5887" width="4.140625" style="60" customWidth="1"/>
    <col min="5888" max="5888" width="2.85546875" style="60" customWidth="1"/>
    <col min="5889" max="5889" width="3.5703125" style="60" customWidth="1"/>
    <col min="5890" max="5890" width="3.140625" style="60" customWidth="1"/>
    <col min="5891" max="5891" width="51" style="60" customWidth="1"/>
    <col min="5892" max="5893" width="11.5703125" style="60" bestFit="1" customWidth="1"/>
    <col min="5894" max="5894" width="13.28515625" style="60" bestFit="1" customWidth="1"/>
    <col min="5895" max="5895" width="11.5703125" style="60" bestFit="1" customWidth="1"/>
    <col min="5896" max="5896" width="12.28515625" style="60" bestFit="1" customWidth="1"/>
    <col min="5897" max="5897" width="13.42578125" style="60" customWidth="1"/>
    <col min="5898" max="5898" width="13.28515625" style="60" bestFit="1" customWidth="1"/>
    <col min="5899" max="5899" width="11.5703125" style="60" bestFit="1" customWidth="1"/>
    <col min="5900" max="6141" width="11.42578125" style="60"/>
    <col min="6142" max="6142" width="3.28515625" style="60" customWidth="1"/>
    <col min="6143" max="6143" width="4.140625" style="60" customWidth="1"/>
    <col min="6144" max="6144" width="2.85546875" style="60" customWidth="1"/>
    <col min="6145" max="6145" width="3.5703125" style="60" customWidth="1"/>
    <col min="6146" max="6146" width="3.140625" style="60" customWidth="1"/>
    <col min="6147" max="6147" width="51" style="60" customWidth="1"/>
    <col min="6148" max="6149" width="11.5703125" style="60" bestFit="1" customWidth="1"/>
    <col min="6150" max="6150" width="13.28515625" style="60" bestFit="1" customWidth="1"/>
    <col min="6151" max="6151" width="11.5703125" style="60" bestFit="1" customWidth="1"/>
    <col min="6152" max="6152" width="12.28515625" style="60" bestFit="1" customWidth="1"/>
    <col min="6153" max="6153" width="13.42578125" style="60" customWidth="1"/>
    <col min="6154" max="6154" width="13.28515625" style="60" bestFit="1" customWidth="1"/>
    <col min="6155" max="6155" width="11.5703125" style="60" bestFit="1" customWidth="1"/>
    <col min="6156" max="6397" width="11.42578125" style="60"/>
    <col min="6398" max="6398" width="3.28515625" style="60" customWidth="1"/>
    <col min="6399" max="6399" width="4.140625" style="60" customWidth="1"/>
    <col min="6400" max="6400" width="2.85546875" style="60" customWidth="1"/>
    <col min="6401" max="6401" width="3.5703125" style="60" customWidth="1"/>
    <col min="6402" max="6402" width="3.140625" style="60" customWidth="1"/>
    <col min="6403" max="6403" width="51" style="60" customWidth="1"/>
    <col min="6404" max="6405" width="11.5703125" style="60" bestFit="1" customWidth="1"/>
    <col min="6406" max="6406" width="13.28515625" style="60" bestFit="1" customWidth="1"/>
    <col min="6407" max="6407" width="11.5703125" style="60" bestFit="1" customWidth="1"/>
    <col min="6408" max="6408" width="12.28515625" style="60" bestFit="1" customWidth="1"/>
    <col min="6409" max="6409" width="13.42578125" style="60" customWidth="1"/>
    <col min="6410" max="6410" width="13.28515625" style="60" bestFit="1" customWidth="1"/>
    <col min="6411" max="6411" width="11.5703125" style="60" bestFit="1" customWidth="1"/>
    <col min="6412" max="6653" width="11.42578125" style="60"/>
    <col min="6654" max="6654" width="3.28515625" style="60" customWidth="1"/>
    <col min="6655" max="6655" width="4.140625" style="60" customWidth="1"/>
    <col min="6656" max="6656" width="2.85546875" style="60" customWidth="1"/>
    <col min="6657" max="6657" width="3.5703125" style="60" customWidth="1"/>
    <col min="6658" max="6658" width="3.140625" style="60" customWidth="1"/>
    <col min="6659" max="6659" width="51" style="60" customWidth="1"/>
    <col min="6660" max="6661" width="11.5703125" style="60" bestFit="1" customWidth="1"/>
    <col min="6662" max="6662" width="13.28515625" style="60" bestFit="1" customWidth="1"/>
    <col min="6663" max="6663" width="11.5703125" style="60" bestFit="1" customWidth="1"/>
    <col min="6664" max="6664" width="12.28515625" style="60" bestFit="1" customWidth="1"/>
    <col min="6665" max="6665" width="13.42578125" style="60" customWidth="1"/>
    <col min="6666" max="6666" width="13.28515625" style="60" bestFit="1" customWidth="1"/>
    <col min="6667" max="6667" width="11.5703125" style="60" bestFit="1" customWidth="1"/>
    <col min="6668" max="6909" width="11.42578125" style="60"/>
    <col min="6910" max="6910" width="3.28515625" style="60" customWidth="1"/>
    <col min="6911" max="6911" width="4.140625" style="60" customWidth="1"/>
    <col min="6912" max="6912" width="2.85546875" style="60" customWidth="1"/>
    <col min="6913" max="6913" width="3.5703125" style="60" customWidth="1"/>
    <col min="6914" max="6914" width="3.140625" style="60" customWidth="1"/>
    <col min="6915" max="6915" width="51" style="60" customWidth="1"/>
    <col min="6916" max="6917" width="11.5703125" style="60" bestFit="1" customWidth="1"/>
    <col min="6918" max="6918" width="13.28515625" style="60" bestFit="1" customWidth="1"/>
    <col min="6919" max="6919" width="11.5703125" style="60" bestFit="1" customWidth="1"/>
    <col min="6920" max="6920" width="12.28515625" style="60" bestFit="1" customWidth="1"/>
    <col min="6921" max="6921" width="13.42578125" style="60" customWidth="1"/>
    <col min="6922" max="6922" width="13.28515625" style="60" bestFit="1" customWidth="1"/>
    <col min="6923" max="6923" width="11.5703125" style="60" bestFit="1" customWidth="1"/>
    <col min="6924" max="7165" width="11.42578125" style="60"/>
    <col min="7166" max="7166" width="3.28515625" style="60" customWidth="1"/>
    <col min="7167" max="7167" width="4.140625" style="60" customWidth="1"/>
    <col min="7168" max="7168" width="2.85546875" style="60" customWidth="1"/>
    <col min="7169" max="7169" width="3.5703125" style="60" customWidth="1"/>
    <col min="7170" max="7170" width="3.140625" style="60" customWidth="1"/>
    <col min="7171" max="7171" width="51" style="60" customWidth="1"/>
    <col min="7172" max="7173" width="11.5703125" style="60" bestFit="1" customWidth="1"/>
    <col min="7174" max="7174" width="13.28515625" style="60" bestFit="1" customWidth="1"/>
    <col min="7175" max="7175" width="11.5703125" style="60" bestFit="1" customWidth="1"/>
    <col min="7176" max="7176" width="12.28515625" style="60" bestFit="1" customWidth="1"/>
    <col min="7177" max="7177" width="13.42578125" style="60" customWidth="1"/>
    <col min="7178" max="7178" width="13.28515625" style="60" bestFit="1" customWidth="1"/>
    <col min="7179" max="7179" width="11.5703125" style="60" bestFit="1" customWidth="1"/>
    <col min="7180" max="7421" width="11.42578125" style="60"/>
    <col min="7422" max="7422" width="3.28515625" style="60" customWidth="1"/>
    <col min="7423" max="7423" width="4.140625" style="60" customWidth="1"/>
    <col min="7424" max="7424" width="2.85546875" style="60" customWidth="1"/>
    <col min="7425" max="7425" width="3.5703125" style="60" customWidth="1"/>
    <col min="7426" max="7426" width="3.140625" style="60" customWidth="1"/>
    <col min="7427" max="7427" width="51" style="60" customWidth="1"/>
    <col min="7428" max="7429" width="11.5703125" style="60" bestFit="1" customWidth="1"/>
    <col min="7430" max="7430" width="13.28515625" style="60" bestFit="1" customWidth="1"/>
    <col min="7431" max="7431" width="11.5703125" style="60" bestFit="1" customWidth="1"/>
    <col min="7432" max="7432" width="12.28515625" style="60" bestFit="1" customWidth="1"/>
    <col min="7433" max="7433" width="13.42578125" style="60" customWidth="1"/>
    <col min="7434" max="7434" width="13.28515625" style="60" bestFit="1" customWidth="1"/>
    <col min="7435" max="7435" width="11.5703125" style="60" bestFit="1" customWidth="1"/>
    <col min="7436" max="7677" width="11.42578125" style="60"/>
    <col min="7678" max="7678" width="3.28515625" style="60" customWidth="1"/>
    <col min="7679" max="7679" width="4.140625" style="60" customWidth="1"/>
    <col min="7680" max="7680" width="2.85546875" style="60" customWidth="1"/>
    <col min="7681" max="7681" width="3.5703125" style="60" customWidth="1"/>
    <col min="7682" max="7682" width="3.140625" style="60" customWidth="1"/>
    <col min="7683" max="7683" width="51" style="60" customWidth="1"/>
    <col min="7684" max="7685" width="11.5703125" style="60" bestFit="1" customWidth="1"/>
    <col min="7686" max="7686" width="13.28515625" style="60" bestFit="1" customWidth="1"/>
    <col min="7687" max="7687" width="11.5703125" style="60" bestFit="1" customWidth="1"/>
    <col min="7688" max="7688" width="12.28515625" style="60" bestFit="1" customWidth="1"/>
    <col min="7689" max="7689" width="13.42578125" style="60" customWidth="1"/>
    <col min="7690" max="7690" width="13.28515625" style="60" bestFit="1" customWidth="1"/>
    <col min="7691" max="7691" width="11.5703125" style="60" bestFit="1" customWidth="1"/>
    <col min="7692" max="7933" width="11.42578125" style="60"/>
    <col min="7934" max="7934" width="3.28515625" style="60" customWidth="1"/>
    <col min="7935" max="7935" width="4.140625" style="60" customWidth="1"/>
    <col min="7936" max="7936" width="2.85546875" style="60" customWidth="1"/>
    <col min="7937" max="7937" width="3.5703125" style="60" customWidth="1"/>
    <col min="7938" max="7938" width="3.140625" style="60" customWidth="1"/>
    <col min="7939" max="7939" width="51" style="60" customWidth="1"/>
    <col min="7940" max="7941" width="11.5703125" style="60" bestFit="1" customWidth="1"/>
    <col min="7942" max="7942" width="13.28515625" style="60" bestFit="1" customWidth="1"/>
    <col min="7943" max="7943" width="11.5703125" style="60" bestFit="1" customWidth="1"/>
    <col min="7944" max="7944" width="12.28515625" style="60" bestFit="1" customWidth="1"/>
    <col min="7945" max="7945" width="13.42578125" style="60" customWidth="1"/>
    <col min="7946" max="7946" width="13.28515625" style="60" bestFit="1" customWidth="1"/>
    <col min="7947" max="7947" width="11.5703125" style="60" bestFit="1" customWidth="1"/>
    <col min="7948" max="8189" width="11.42578125" style="60"/>
    <col min="8190" max="8190" width="3.28515625" style="60" customWidth="1"/>
    <col min="8191" max="8191" width="4.140625" style="60" customWidth="1"/>
    <col min="8192" max="8192" width="2.85546875" style="60" customWidth="1"/>
    <col min="8193" max="8193" width="3.5703125" style="60" customWidth="1"/>
    <col min="8194" max="8194" width="3.140625" style="60" customWidth="1"/>
    <col min="8195" max="8195" width="51" style="60" customWidth="1"/>
    <col min="8196" max="8197" width="11.5703125" style="60" bestFit="1" customWidth="1"/>
    <col min="8198" max="8198" width="13.28515625" style="60" bestFit="1" customWidth="1"/>
    <col min="8199" max="8199" width="11.5703125" style="60" bestFit="1" customWidth="1"/>
    <col min="8200" max="8200" width="12.28515625" style="60" bestFit="1" customWidth="1"/>
    <col min="8201" max="8201" width="13.42578125" style="60" customWidth="1"/>
    <col min="8202" max="8202" width="13.28515625" style="60" bestFit="1" customWidth="1"/>
    <col min="8203" max="8203" width="11.5703125" style="60" bestFit="1" customWidth="1"/>
    <col min="8204" max="8445" width="11.42578125" style="60"/>
    <col min="8446" max="8446" width="3.28515625" style="60" customWidth="1"/>
    <col min="8447" max="8447" width="4.140625" style="60" customWidth="1"/>
    <col min="8448" max="8448" width="2.85546875" style="60" customWidth="1"/>
    <col min="8449" max="8449" width="3.5703125" style="60" customWidth="1"/>
    <col min="8450" max="8450" width="3.140625" style="60" customWidth="1"/>
    <col min="8451" max="8451" width="51" style="60" customWidth="1"/>
    <col min="8452" max="8453" width="11.5703125" style="60" bestFit="1" customWidth="1"/>
    <col min="8454" max="8454" width="13.28515625" style="60" bestFit="1" customWidth="1"/>
    <col min="8455" max="8455" width="11.5703125" style="60" bestFit="1" customWidth="1"/>
    <col min="8456" max="8456" width="12.28515625" style="60" bestFit="1" customWidth="1"/>
    <col min="8457" max="8457" width="13.42578125" style="60" customWidth="1"/>
    <col min="8458" max="8458" width="13.28515625" style="60" bestFit="1" customWidth="1"/>
    <col min="8459" max="8459" width="11.5703125" style="60" bestFit="1" customWidth="1"/>
    <col min="8460" max="8701" width="11.42578125" style="60"/>
    <col min="8702" max="8702" width="3.28515625" style="60" customWidth="1"/>
    <col min="8703" max="8703" width="4.140625" style="60" customWidth="1"/>
    <col min="8704" max="8704" width="2.85546875" style="60" customWidth="1"/>
    <col min="8705" max="8705" width="3.5703125" style="60" customWidth="1"/>
    <col min="8706" max="8706" width="3.140625" style="60" customWidth="1"/>
    <col min="8707" max="8707" width="51" style="60" customWidth="1"/>
    <col min="8708" max="8709" width="11.5703125" style="60" bestFit="1" customWidth="1"/>
    <col min="8710" max="8710" width="13.28515625" style="60" bestFit="1" customWidth="1"/>
    <col min="8711" max="8711" width="11.5703125" style="60" bestFit="1" customWidth="1"/>
    <col min="8712" max="8712" width="12.28515625" style="60" bestFit="1" customWidth="1"/>
    <col min="8713" max="8713" width="13.42578125" style="60" customWidth="1"/>
    <col min="8714" max="8714" width="13.28515625" style="60" bestFit="1" customWidth="1"/>
    <col min="8715" max="8715" width="11.5703125" style="60" bestFit="1" customWidth="1"/>
    <col min="8716" max="8957" width="11.42578125" style="60"/>
    <col min="8958" max="8958" width="3.28515625" style="60" customWidth="1"/>
    <col min="8959" max="8959" width="4.140625" style="60" customWidth="1"/>
    <col min="8960" max="8960" width="2.85546875" style="60" customWidth="1"/>
    <col min="8961" max="8961" width="3.5703125" style="60" customWidth="1"/>
    <col min="8962" max="8962" width="3.140625" style="60" customWidth="1"/>
    <col min="8963" max="8963" width="51" style="60" customWidth="1"/>
    <col min="8964" max="8965" width="11.5703125" style="60" bestFit="1" customWidth="1"/>
    <col min="8966" max="8966" width="13.28515625" style="60" bestFit="1" customWidth="1"/>
    <col min="8967" max="8967" width="11.5703125" style="60" bestFit="1" customWidth="1"/>
    <col min="8968" max="8968" width="12.28515625" style="60" bestFit="1" customWidth="1"/>
    <col min="8969" max="8969" width="13.42578125" style="60" customWidth="1"/>
    <col min="8970" max="8970" width="13.28515625" style="60" bestFit="1" customWidth="1"/>
    <col min="8971" max="8971" width="11.5703125" style="60" bestFit="1" customWidth="1"/>
    <col min="8972" max="9213" width="11.42578125" style="60"/>
    <col min="9214" max="9214" width="3.28515625" style="60" customWidth="1"/>
    <col min="9215" max="9215" width="4.140625" style="60" customWidth="1"/>
    <col min="9216" max="9216" width="2.85546875" style="60" customWidth="1"/>
    <col min="9217" max="9217" width="3.5703125" style="60" customWidth="1"/>
    <col min="9218" max="9218" width="3.140625" style="60" customWidth="1"/>
    <col min="9219" max="9219" width="51" style="60" customWidth="1"/>
    <col min="9220" max="9221" width="11.5703125" style="60" bestFit="1" customWidth="1"/>
    <col min="9222" max="9222" width="13.28515625" style="60" bestFit="1" customWidth="1"/>
    <col min="9223" max="9223" width="11.5703125" style="60" bestFit="1" customWidth="1"/>
    <col min="9224" max="9224" width="12.28515625" style="60" bestFit="1" customWidth="1"/>
    <col min="9225" max="9225" width="13.42578125" style="60" customWidth="1"/>
    <col min="9226" max="9226" width="13.28515625" style="60" bestFit="1" customWidth="1"/>
    <col min="9227" max="9227" width="11.5703125" style="60" bestFit="1" customWidth="1"/>
    <col min="9228" max="9469" width="11.42578125" style="60"/>
    <col min="9470" max="9470" width="3.28515625" style="60" customWidth="1"/>
    <col min="9471" max="9471" width="4.140625" style="60" customWidth="1"/>
    <col min="9472" max="9472" width="2.85546875" style="60" customWidth="1"/>
    <col min="9473" max="9473" width="3.5703125" style="60" customWidth="1"/>
    <col min="9474" max="9474" width="3.140625" style="60" customWidth="1"/>
    <col min="9475" max="9475" width="51" style="60" customWidth="1"/>
    <col min="9476" max="9477" width="11.5703125" style="60" bestFit="1" customWidth="1"/>
    <col min="9478" max="9478" width="13.28515625" style="60" bestFit="1" customWidth="1"/>
    <col min="9479" max="9479" width="11.5703125" style="60" bestFit="1" customWidth="1"/>
    <col min="9480" max="9480" width="12.28515625" style="60" bestFit="1" customWidth="1"/>
    <col min="9481" max="9481" width="13.42578125" style="60" customWidth="1"/>
    <col min="9482" max="9482" width="13.28515625" style="60" bestFit="1" customWidth="1"/>
    <col min="9483" max="9483" width="11.5703125" style="60" bestFit="1" customWidth="1"/>
    <col min="9484" max="9725" width="11.42578125" style="60"/>
    <col min="9726" max="9726" width="3.28515625" style="60" customWidth="1"/>
    <col min="9727" max="9727" width="4.140625" style="60" customWidth="1"/>
    <col min="9728" max="9728" width="2.85546875" style="60" customWidth="1"/>
    <col min="9729" max="9729" width="3.5703125" style="60" customWidth="1"/>
    <col min="9730" max="9730" width="3.140625" style="60" customWidth="1"/>
    <col min="9731" max="9731" width="51" style="60" customWidth="1"/>
    <col min="9732" max="9733" width="11.5703125" style="60" bestFit="1" customWidth="1"/>
    <col min="9734" max="9734" width="13.28515625" style="60" bestFit="1" customWidth="1"/>
    <col min="9735" max="9735" width="11.5703125" style="60" bestFit="1" customWidth="1"/>
    <col min="9736" max="9736" width="12.28515625" style="60" bestFit="1" customWidth="1"/>
    <col min="9737" max="9737" width="13.42578125" style="60" customWidth="1"/>
    <col min="9738" max="9738" width="13.28515625" style="60" bestFit="1" customWidth="1"/>
    <col min="9739" max="9739" width="11.5703125" style="60" bestFit="1" customWidth="1"/>
    <col min="9740" max="9981" width="11.42578125" style="60"/>
    <col min="9982" max="9982" width="3.28515625" style="60" customWidth="1"/>
    <col min="9983" max="9983" width="4.140625" style="60" customWidth="1"/>
    <col min="9984" max="9984" width="2.85546875" style="60" customWidth="1"/>
    <col min="9985" max="9985" width="3.5703125" style="60" customWidth="1"/>
    <col min="9986" max="9986" width="3.140625" style="60" customWidth="1"/>
    <col min="9987" max="9987" width="51" style="60" customWidth="1"/>
    <col min="9988" max="9989" width="11.5703125" style="60" bestFit="1" customWidth="1"/>
    <col min="9990" max="9990" width="13.28515625" style="60" bestFit="1" customWidth="1"/>
    <col min="9991" max="9991" width="11.5703125" style="60" bestFit="1" customWidth="1"/>
    <col min="9992" max="9992" width="12.28515625" style="60" bestFit="1" customWidth="1"/>
    <col min="9993" max="9993" width="13.42578125" style="60" customWidth="1"/>
    <col min="9994" max="9994" width="13.28515625" style="60" bestFit="1" customWidth="1"/>
    <col min="9995" max="9995" width="11.5703125" style="60" bestFit="1" customWidth="1"/>
    <col min="9996" max="10237" width="11.42578125" style="60"/>
    <col min="10238" max="10238" width="3.28515625" style="60" customWidth="1"/>
    <col min="10239" max="10239" width="4.140625" style="60" customWidth="1"/>
    <col min="10240" max="10240" width="2.85546875" style="60" customWidth="1"/>
    <col min="10241" max="10241" width="3.5703125" style="60" customWidth="1"/>
    <col min="10242" max="10242" width="3.140625" style="60" customWidth="1"/>
    <col min="10243" max="10243" width="51" style="60" customWidth="1"/>
    <col min="10244" max="10245" width="11.5703125" style="60" bestFit="1" customWidth="1"/>
    <col min="10246" max="10246" width="13.28515625" style="60" bestFit="1" customWidth="1"/>
    <col min="10247" max="10247" width="11.5703125" style="60" bestFit="1" customWidth="1"/>
    <col min="10248" max="10248" width="12.28515625" style="60" bestFit="1" customWidth="1"/>
    <col min="10249" max="10249" width="13.42578125" style="60" customWidth="1"/>
    <col min="10250" max="10250" width="13.28515625" style="60" bestFit="1" customWidth="1"/>
    <col min="10251" max="10251" width="11.5703125" style="60" bestFit="1" customWidth="1"/>
    <col min="10252" max="10493" width="11.42578125" style="60"/>
    <col min="10494" max="10494" width="3.28515625" style="60" customWidth="1"/>
    <col min="10495" max="10495" width="4.140625" style="60" customWidth="1"/>
    <col min="10496" max="10496" width="2.85546875" style="60" customWidth="1"/>
    <col min="10497" max="10497" width="3.5703125" style="60" customWidth="1"/>
    <col min="10498" max="10498" width="3.140625" style="60" customWidth="1"/>
    <col min="10499" max="10499" width="51" style="60" customWidth="1"/>
    <col min="10500" max="10501" width="11.5703125" style="60" bestFit="1" customWidth="1"/>
    <col min="10502" max="10502" width="13.28515625" style="60" bestFit="1" customWidth="1"/>
    <col min="10503" max="10503" width="11.5703125" style="60" bestFit="1" customWidth="1"/>
    <col min="10504" max="10504" width="12.28515625" style="60" bestFit="1" customWidth="1"/>
    <col min="10505" max="10505" width="13.42578125" style="60" customWidth="1"/>
    <col min="10506" max="10506" width="13.28515625" style="60" bestFit="1" customWidth="1"/>
    <col min="10507" max="10507" width="11.5703125" style="60" bestFit="1" customWidth="1"/>
    <col min="10508" max="10749" width="11.42578125" style="60"/>
    <col min="10750" max="10750" width="3.28515625" style="60" customWidth="1"/>
    <col min="10751" max="10751" width="4.140625" style="60" customWidth="1"/>
    <col min="10752" max="10752" width="2.85546875" style="60" customWidth="1"/>
    <col min="10753" max="10753" width="3.5703125" style="60" customWidth="1"/>
    <col min="10754" max="10754" width="3.140625" style="60" customWidth="1"/>
    <col min="10755" max="10755" width="51" style="60" customWidth="1"/>
    <col min="10756" max="10757" width="11.5703125" style="60" bestFit="1" customWidth="1"/>
    <col min="10758" max="10758" width="13.28515625" style="60" bestFit="1" customWidth="1"/>
    <col min="10759" max="10759" width="11.5703125" style="60" bestFit="1" customWidth="1"/>
    <col min="10760" max="10760" width="12.28515625" style="60" bestFit="1" customWidth="1"/>
    <col min="10761" max="10761" width="13.42578125" style="60" customWidth="1"/>
    <col min="10762" max="10762" width="13.28515625" style="60" bestFit="1" customWidth="1"/>
    <col min="10763" max="10763" width="11.5703125" style="60" bestFit="1" customWidth="1"/>
    <col min="10764" max="11005" width="11.42578125" style="60"/>
    <col min="11006" max="11006" width="3.28515625" style="60" customWidth="1"/>
    <col min="11007" max="11007" width="4.140625" style="60" customWidth="1"/>
    <col min="11008" max="11008" width="2.85546875" style="60" customWidth="1"/>
    <col min="11009" max="11009" width="3.5703125" style="60" customWidth="1"/>
    <col min="11010" max="11010" width="3.140625" style="60" customWidth="1"/>
    <col min="11011" max="11011" width="51" style="60" customWidth="1"/>
    <col min="11012" max="11013" width="11.5703125" style="60" bestFit="1" customWidth="1"/>
    <col min="11014" max="11014" width="13.28515625" style="60" bestFit="1" customWidth="1"/>
    <col min="11015" max="11015" width="11.5703125" style="60" bestFit="1" customWidth="1"/>
    <col min="11016" max="11016" width="12.28515625" style="60" bestFit="1" customWidth="1"/>
    <col min="11017" max="11017" width="13.42578125" style="60" customWidth="1"/>
    <col min="11018" max="11018" width="13.28515625" style="60" bestFit="1" customWidth="1"/>
    <col min="11019" max="11019" width="11.5703125" style="60" bestFit="1" customWidth="1"/>
    <col min="11020" max="11261" width="11.42578125" style="60"/>
    <col min="11262" max="11262" width="3.28515625" style="60" customWidth="1"/>
    <col min="11263" max="11263" width="4.140625" style="60" customWidth="1"/>
    <col min="11264" max="11264" width="2.85546875" style="60" customWidth="1"/>
    <col min="11265" max="11265" width="3.5703125" style="60" customWidth="1"/>
    <col min="11266" max="11266" width="3.140625" style="60" customWidth="1"/>
    <col min="11267" max="11267" width="51" style="60" customWidth="1"/>
    <col min="11268" max="11269" width="11.5703125" style="60" bestFit="1" customWidth="1"/>
    <col min="11270" max="11270" width="13.28515625" style="60" bestFit="1" customWidth="1"/>
    <col min="11271" max="11271" width="11.5703125" style="60" bestFit="1" customWidth="1"/>
    <col min="11272" max="11272" width="12.28515625" style="60" bestFit="1" customWidth="1"/>
    <col min="11273" max="11273" width="13.42578125" style="60" customWidth="1"/>
    <col min="11274" max="11274" width="13.28515625" style="60" bestFit="1" customWidth="1"/>
    <col min="11275" max="11275" width="11.5703125" style="60" bestFit="1" customWidth="1"/>
    <col min="11276" max="11517" width="11.42578125" style="60"/>
    <col min="11518" max="11518" width="3.28515625" style="60" customWidth="1"/>
    <col min="11519" max="11519" width="4.140625" style="60" customWidth="1"/>
    <col min="11520" max="11520" width="2.85546875" style="60" customWidth="1"/>
    <col min="11521" max="11521" width="3.5703125" style="60" customWidth="1"/>
    <col min="11522" max="11522" width="3.140625" style="60" customWidth="1"/>
    <col min="11523" max="11523" width="51" style="60" customWidth="1"/>
    <col min="11524" max="11525" width="11.5703125" style="60" bestFit="1" customWidth="1"/>
    <col min="11526" max="11526" width="13.28515625" style="60" bestFit="1" customWidth="1"/>
    <col min="11527" max="11527" width="11.5703125" style="60" bestFit="1" customWidth="1"/>
    <col min="11528" max="11528" width="12.28515625" style="60" bestFit="1" customWidth="1"/>
    <col min="11529" max="11529" width="13.42578125" style="60" customWidth="1"/>
    <col min="11530" max="11530" width="13.28515625" style="60" bestFit="1" customWidth="1"/>
    <col min="11531" max="11531" width="11.5703125" style="60" bestFit="1" customWidth="1"/>
    <col min="11532" max="11773" width="11.42578125" style="60"/>
    <col min="11774" max="11774" width="3.28515625" style="60" customWidth="1"/>
    <col min="11775" max="11775" width="4.140625" style="60" customWidth="1"/>
    <col min="11776" max="11776" width="2.85546875" style="60" customWidth="1"/>
    <col min="11777" max="11777" width="3.5703125" style="60" customWidth="1"/>
    <col min="11778" max="11778" width="3.140625" style="60" customWidth="1"/>
    <col min="11779" max="11779" width="51" style="60" customWidth="1"/>
    <col min="11780" max="11781" width="11.5703125" style="60" bestFit="1" customWidth="1"/>
    <col min="11782" max="11782" width="13.28515625" style="60" bestFit="1" customWidth="1"/>
    <col min="11783" max="11783" width="11.5703125" style="60" bestFit="1" customWidth="1"/>
    <col min="11784" max="11784" width="12.28515625" style="60" bestFit="1" customWidth="1"/>
    <col min="11785" max="11785" width="13.42578125" style="60" customWidth="1"/>
    <col min="11786" max="11786" width="13.28515625" style="60" bestFit="1" customWidth="1"/>
    <col min="11787" max="11787" width="11.5703125" style="60" bestFit="1" customWidth="1"/>
    <col min="11788" max="12029" width="11.42578125" style="60"/>
    <col min="12030" max="12030" width="3.28515625" style="60" customWidth="1"/>
    <col min="12031" max="12031" width="4.140625" style="60" customWidth="1"/>
    <col min="12032" max="12032" width="2.85546875" style="60" customWidth="1"/>
    <col min="12033" max="12033" width="3.5703125" style="60" customWidth="1"/>
    <col min="12034" max="12034" width="3.140625" style="60" customWidth="1"/>
    <col min="12035" max="12035" width="51" style="60" customWidth="1"/>
    <col min="12036" max="12037" width="11.5703125" style="60" bestFit="1" customWidth="1"/>
    <col min="12038" max="12038" width="13.28515625" style="60" bestFit="1" customWidth="1"/>
    <col min="12039" max="12039" width="11.5703125" style="60" bestFit="1" customWidth="1"/>
    <col min="12040" max="12040" width="12.28515625" style="60" bestFit="1" customWidth="1"/>
    <col min="12041" max="12041" width="13.42578125" style="60" customWidth="1"/>
    <col min="12042" max="12042" width="13.28515625" style="60" bestFit="1" customWidth="1"/>
    <col min="12043" max="12043" width="11.5703125" style="60" bestFit="1" customWidth="1"/>
    <col min="12044" max="12285" width="11.42578125" style="60"/>
    <col min="12286" max="12286" width="3.28515625" style="60" customWidth="1"/>
    <col min="12287" max="12287" width="4.140625" style="60" customWidth="1"/>
    <col min="12288" max="12288" width="2.85546875" style="60" customWidth="1"/>
    <col min="12289" max="12289" width="3.5703125" style="60" customWidth="1"/>
    <col min="12290" max="12290" width="3.140625" style="60" customWidth="1"/>
    <col min="12291" max="12291" width="51" style="60" customWidth="1"/>
    <col min="12292" max="12293" width="11.5703125" style="60" bestFit="1" customWidth="1"/>
    <col min="12294" max="12294" width="13.28515625" style="60" bestFit="1" customWidth="1"/>
    <col min="12295" max="12295" width="11.5703125" style="60" bestFit="1" customWidth="1"/>
    <col min="12296" max="12296" width="12.28515625" style="60" bestFit="1" customWidth="1"/>
    <col min="12297" max="12297" width="13.42578125" style="60" customWidth="1"/>
    <col min="12298" max="12298" width="13.28515625" style="60" bestFit="1" customWidth="1"/>
    <col min="12299" max="12299" width="11.5703125" style="60" bestFit="1" customWidth="1"/>
    <col min="12300" max="12541" width="11.42578125" style="60"/>
    <col min="12542" max="12542" width="3.28515625" style="60" customWidth="1"/>
    <col min="12543" max="12543" width="4.140625" style="60" customWidth="1"/>
    <col min="12544" max="12544" width="2.85546875" style="60" customWidth="1"/>
    <col min="12545" max="12545" width="3.5703125" style="60" customWidth="1"/>
    <col min="12546" max="12546" width="3.140625" style="60" customWidth="1"/>
    <col min="12547" max="12547" width="51" style="60" customWidth="1"/>
    <col min="12548" max="12549" width="11.5703125" style="60" bestFit="1" customWidth="1"/>
    <col min="12550" max="12550" width="13.28515625" style="60" bestFit="1" customWidth="1"/>
    <col min="12551" max="12551" width="11.5703125" style="60" bestFit="1" customWidth="1"/>
    <col min="12552" max="12552" width="12.28515625" style="60" bestFit="1" customWidth="1"/>
    <col min="12553" max="12553" width="13.42578125" style="60" customWidth="1"/>
    <col min="12554" max="12554" width="13.28515625" style="60" bestFit="1" customWidth="1"/>
    <col min="12555" max="12555" width="11.5703125" style="60" bestFit="1" customWidth="1"/>
    <col min="12556" max="12797" width="11.42578125" style="60"/>
    <col min="12798" max="12798" width="3.28515625" style="60" customWidth="1"/>
    <col min="12799" max="12799" width="4.140625" style="60" customWidth="1"/>
    <col min="12800" max="12800" width="2.85546875" style="60" customWidth="1"/>
    <col min="12801" max="12801" width="3.5703125" style="60" customWidth="1"/>
    <col min="12802" max="12802" width="3.140625" style="60" customWidth="1"/>
    <col min="12803" max="12803" width="51" style="60" customWidth="1"/>
    <col min="12804" max="12805" width="11.5703125" style="60" bestFit="1" customWidth="1"/>
    <col min="12806" max="12806" width="13.28515625" style="60" bestFit="1" customWidth="1"/>
    <col min="12807" max="12807" width="11.5703125" style="60" bestFit="1" customWidth="1"/>
    <col min="12808" max="12808" width="12.28515625" style="60" bestFit="1" customWidth="1"/>
    <col min="12809" max="12809" width="13.42578125" style="60" customWidth="1"/>
    <col min="12810" max="12810" width="13.28515625" style="60" bestFit="1" customWidth="1"/>
    <col min="12811" max="12811" width="11.5703125" style="60" bestFit="1" customWidth="1"/>
    <col min="12812" max="13053" width="11.42578125" style="60"/>
    <col min="13054" max="13054" width="3.28515625" style="60" customWidth="1"/>
    <col min="13055" max="13055" width="4.140625" style="60" customWidth="1"/>
    <col min="13056" max="13056" width="2.85546875" style="60" customWidth="1"/>
    <col min="13057" max="13057" width="3.5703125" style="60" customWidth="1"/>
    <col min="13058" max="13058" width="3.140625" style="60" customWidth="1"/>
    <col min="13059" max="13059" width="51" style="60" customWidth="1"/>
    <col min="13060" max="13061" width="11.5703125" style="60" bestFit="1" customWidth="1"/>
    <col min="13062" max="13062" width="13.28515625" style="60" bestFit="1" customWidth="1"/>
    <col min="13063" max="13063" width="11.5703125" style="60" bestFit="1" customWidth="1"/>
    <col min="13064" max="13064" width="12.28515625" style="60" bestFit="1" customWidth="1"/>
    <col min="13065" max="13065" width="13.42578125" style="60" customWidth="1"/>
    <col min="13066" max="13066" width="13.28515625" style="60" bestFit="1" customWidth="1"/>
    <col min="13067" max="13067" width="11.5703125" style="60" bestFit="1" customWidth="1"/>
    <col min="13068" max="13309" width="11.42578125" style="60"/>
    <col min="13310" max="13310" width="3.28515625" style="60" customWidth="1"/>
    <col min="13311" max="13311" width="4.140625" style="60" customWidth="1"/>
    <col min="13312" max="13312" width="2.85546875" style="60" customWidth="1"/>
    <col min="13313" max="13313" width="3.5703125" style="60" customWidth="1"/>
    <col min="13314" max="13314" width="3.140625" style="60" customWidth="1"/>
    <col min="13315" max="13315" width="51" style="60" customWidth="1"/>
    <col min="13316" max="13317" width="11.5703125" style="60" bestFit="1" customWidth="1"/>
    <col min="13318" max="13318" width="13.28515625" style="60" bestFit="1" customWidth="1"/>
    <col min="13319" max="13319" width="11.5703125" style="60" bestFit="1" customWidth="1"/>
    <col min="13320" max="13320" width="12.28515625" style="60" bestFit="1" customWidth="1"/>
    <col min="13321" max="13321" width="13.42578125" style="60" customWidth="1"/>
    <col min="13322" max="13322" width="13.28515625" style="60" bestFit="1" customWidth="1"/>
    <col min="13323" max="13323" width="11.5703125" style="60" bestFit="1" customWidth="1"/>
    <col min="13324" max="13565" width="11.42578125" style="60"/>
    <col min="13566" max="13566" width="3.28515625" style="60" customWidth="1"/>
    <col min="13567" max="13567" width="4.140625" style="60" customWidth="1"/>
    <col min="13568" max="13568" width="2.85546875" style="60" customWidth="1"/>
    <col min="13569" max="13569" width="3.5703125" style="60" customWidth="1"/>
    <col min="13570" max="13570" width="3.140625" style="60" customWidth="1"/>
    <col min="13571" max="13571" width="51" style="60" customWidth="1"/>
    <col min="13572" max="13573" width="11.5703125" style="60" bestFit="1" customWidth="1"/>
    <col min="13574" max="13574" width="13.28515625" style="60" bestFit="1" customWidth="1"/>
    <col min="13575" max="13575" width="11.5703125" style="60" bestFit="1" customWidth="1"/>
    <col min="13576" max="13576" width="12.28515625" style="60" bestFit="1" customWidth="1"/>
    <col min="13577" max="13577" width="13.42578125" style="60" customWidth="1"/>
    <col min="13578" max="13578" width="13.28515625" style="60" bestFit="1" customWidth="1"/>
    <col min="13579" max="13579" width="11.5703125" style="60" bestFit="1" customWidth="1"/>
    <col min="13580" max="13821" width="11.42578125" style="60"/>
    <col min="13822" max="13822" width="3.28515625" style="60" customWidth="1"/>
    <col min="13823" max="13823" width="4.140625" style="60" customWidth="1"/>
    <col min="13824" max="13824" width="2.85546875" style="60" customWidth="1"/>
    <col min="13825" max="13825" width="3.5703125" style="60" customWidth="1"/>
    <col min="13826" max="13826" width="3.140625" style="60" customWidth="1"/>
    <col min="13827" max="13827" width="51" style="60" customWidth="1"/>
    <col min="13828" max="13829" width="11.5703125" style="60" bestFit="1" customWidth="1"/>
    <col min="13830" max="13830" width="13.28515625" style="60" bestFit="1" customWidth="1"/>
    <col min="13831" max="13831" width="11.5703125" style="60" bestFit="1" customWidth="1"/>
    <col min="13832" max="13832" width="12.28515625" style="60" bestFit="1" customWidth="1"/>
    <col min="13833" max="13833" width="13.42578125" style="60" customWidth="1"/>
    <col min="13834" max="13834" width="13.28515625" style="60" bestFit="1" customWidth="1"/>
    <col min="13835" max="13835" width="11.5703125" style="60" bestFit="1" customWidth="1"/>
    <col min="13836" max="14077" width="11.42578125" style="60"/>
    <col min="14078" max="14078" width="3.28515625" style="60" customWidth="1"/>
    <col min="14079" max="14079" width="4.140625" style="60" customWidth="1"/>
    <col min="14080" max="14080" width="2.85546875" style="60" customWidth="1"/>
    <col min="14081" max="14081" width="3.5703125" style="60" customWidth="1"/>
    <col min="14082" max="14082" width="3.140625" style="60" customWidth="1"/>
    <col min="14083" max="14083" width="51" style="60" customWidth="1"/>
    <col min="14084" max="14085" width="11.5703125" style="60" bestFit="1" customWidth="1"/>
    <col min="14086" max="14086" width="13.28515625" style="60" bestFit="1" customWidth="1"/>
    <col min="14087" max="14087" width="11.5703125" style="60" bestFit="1" customWidth="1"/>
    <col min="14088" max="14088" width="12.28515625" style="60" bestFit="1" customWidth="1"/>
    <col min="14089" max="14089" width="13.42578125" style="60" customWidth="1"/>
    <col min="14090" max="14090" width="13.28515625" style="60" bestFit="1" customWidth="1"/>
    <col min="14091" max="14091" width="11.5703125" style="60" bestFit="1" customWidth="1"/>
    <col min="14092" max="14333" width="11.42578125" style="60"/>
    <col min="14334" max="14334" width="3.28515625" style="60" customWidth="1"/>
    <col min="14335" max="14335" width="4.140625" style="60" customWidth="1"/>
    <col min="14336" max="14336" width="2.85546875" style="60" customWidth="1"/>
    <col min="14337" max="14337" width="3.5703125" style="60" customWidth="1"/>
    <col min="14338" max="14338" width="3.140625" style="60" customWidth="1"/>
    <col min="14339" max="14339" width="51" style="60" customWidth="1"/>
    <col min="14340" max="14341" width="11.5703125" style="60" bestFit="1" customWidth="1"/>
    <col min="14342" max="14342" width="13.28515625" style="60" bestFit="1" customWidth="1"/>
    <col min="14343" max="14343" width="11.5703125" style="60" bestFit="1" customWidth="1"/>
    <col min="14344" max="14344" width="12.28515625" style="60" bestFit="1" customWidth="1"/>
    <col min="14345" max="14345" width="13.42578125" style="60" customWidth="1"/>
    <col min="14346" max="14346" width="13.28515625" style="60" bestFit="1" customWidth="1"/>
    <col min="14347" max="14347" width="11.5703125" style="60" bestFit="1" customWidth="1"/>
    <col min="14348" max="14589" width="11.42578125" style="60"/>
    <col min="14590" max="14590" width="3.28515625" style="60" customWidth="1"/>
    <col min="14591" max="14591" width="4.140625" style="60" customWidth="1"/>
    <col min="14592" max="14592" width="2.85546875" style="60" customWidth="1"/>
    <col min="14593" max="14593" width="3.5703125" style="60" customWidth="1"/>
    <col min="14594" max="14594" width="3.140625" style="60" customWidth="1"/>
    <col min="14595" max="14595" width="51" style="60" customWidth="1"/>
    <col min="14596" max="14597" width="11.5703125" style="60" bestFit="1" customWidth="1"/>
    <col min="14598" max="14598" width="13.28515625" style="60" bestFit="1" customWidth="1"/>
    <col min="14599" max="14599" width="11.5703125" style="60" bestFit="1" customWidth="1"/>
    <col min="14600" max="14600" width="12.28515625" style="60" bestFit="1" customWidth="1"/>
    <col min="14601" max="14601" width="13.42578125" style="60" customWidth="1"/>
    <col min="14602" max="14602" width="13.28515625" style="60" bestFit="1" customWidth="1"/>
    <col min="14603" max="14603" width="11.5703125" style="60" bestFit="1" customWidth="1"/>
    <col min="14604" max="14845" width="11.42578125" style="60"/>
    <col min="14846" max="14846" width="3.28515625" style="60" customWidth="1"/>
    <col min="14847" max="14847" width="4.140625" style="60" customWidth="1"/>
    <col min="14848" max="14848" width="2.85546875" style="60" customWidth="1"/>
    <col min="14849" max="14849" width="3.5703125" style="60" customWidth="1"/>
    <col min="14850" max="14850" width="3.140625" style="60" customWidth="1"/>
    <col min="14851" max="14851" width="51" style="60" customWidth="1"/>
    <col min="14852" max="14853" width="11.5703125" style="60" bestFit="1" customWidth="1"/>
    <col min="14854" max="14854" width="13.28515625" style="60" bestFit="1" customWidth="1"/>
    <col min="14855" max="14855" width="11.5703125" style="60" bestFit="1" customWidth="1"/>
    <col min="14856" max="14856" width="12.28515625" style="60" bestFit="1" customWidth="1"/>
    <col min="14857" max="14857" width="13.42578125" style="60" customWidth="1"/>
    <col min="14858" max="14858" width="13.28515625" style="60" bestFit="1" customWidth="1"/>
    <col min="14859" max="14859" width="11.5703125" style="60" bestFit="1" customWidth="1"/>
    <col min="14860" max="15101" width="11.42578125" style="60"/>
    <col min="15102" max="15102" width="3.28515625" style="60" customWidth="1"/>
    <col min="15103" max="15103" width="4.140625" style="60" customWidth="1"/>
    <col min="15104" max="15104" width="2.85546875" style="60" customWidth="1"/>
    <col min="15105" max="15105" width="3.5703125" style="60" customWidth="1"/>
    <col min="15106" max="15106" width="3.140625" style="60" customWidth="1"/>
    <col min="15107" max="15107" width="51" style="60" customWidth="1"/>
    <col min="15108" max="15109" width="11.5703125" style="60" bestFit="1" customWidth="1"/>
    <col min="15110" max="15110" width="13.28515625" style="60" bestFit="1" customWidth="1"/>
    <col min="15111" max="15111" width="11.5703125" style="60" bestFit="1" customWidth="1"/>
    <col min="15112" max="15112" width="12.28515625" style="60" bestFit="1" customWidth="1"/>
    <col min="15113" max="15113" width="13.42578125" style="60" customWidth="1"/>
    <col min="15114" max="15114" width="13.28515625" style="60" bestFit="1" customWidth="1"/>
    <col min="15115" max="15115" width="11.5703125" style="60" bestFit="1" customWidth="1"/>
    <col min="15116" max="15357" width="11.42578125" style="60"/>
    <col min="15358" max="15358" width="3.28515625" style="60" customWidth="1"/>
    <col min="15359" max="15359" width="4.140625" style="60" customWidth="1"/>
    <col min="15360" max="15360" width="2.85546875" style="60" customWidth="1"/>
    <col min="15361" max="15361" width="3.5703125" style="60" customWidth="1"/>
    <col min="15362" max="15362" width="3.140625" style="60" customWidth="1"/>
    <col min="15363" max="15363" width="51" style="60" customWidth="1"/>
    <col min="15364" max="15365" width="11.5703125" style="60" bestFit="1" customWidth="1"/>
    <col min="15366" max="15366" width="13.28515625" style="60" bestFit="1" customWidth="1"/>
    <col min="15367" max="15367" width="11.5703125" style="60" bestFit="1" customWidth="1"/>
    <col min="15368" max="15368" width="12.28515625" style="60" bestFit="1" customWidth="1"/>
    <col min="15369" max="15369" width="13.42578125" style="60" customWidth="1"/>
    <col min="15370" max="15370" width="13.28515625" style="60" bestFit="1" customWidth="1"/>
    <col min="15371" max="15371" width="11.5703125" style="60" bestFit="1" customWidth="1"/>
    <col min="15372" max="15613" width="11.42578125" style="60"/>
    <col min="15614" max="15614" width="3.28515625" style="60" customWidth="1"/>
    <col min="15615" max="15615" width="4.140625" style="60" customWidth="1"/>
    <col min="15616" max="15616" width="2.85546875" style="60" customWidth="1"/>
    <col min="15617" max="15617" width="3.5703125" style="60" customWidth="1"/>
    <col min="15618" max="15618" width="3.140625" style="60" customWidth="1"/>
    <col min="15619" max="15619" width="51" style="60" customWidth="1"/>
    <col min="15620" max="15621" width="11.5703125" style="60" bestFit="1" customWidth="1"/>
    <col min="15622" max="15622" width="13.28515625" style="60" bestFit="1" customWidth="1"/>
    <col min="15623" max="15623" width="11.5703125" style="60" bestFit="1" customWidth="1"/>
    <col min="15624" max="15624" width="12.28515625" style="60" bestFit="1" customWidth="1"/>
    <col min="15625" max="15625" width="13.42578125" style="60" customWidth="1"/>
    <col min="15626" max="15626" width="13.28515625" style="60" bestFit="1" customWidth="1"/>
    <col min="15627" max="15627" width="11.5703125" style="60" bestFit="1" customWidth="1"/>
    <col min="15628" max="15869" width="11.42578125" style="60"/>
    <col min="15870" max="15870" width="3.28515625" style="60" customWidth="1"/>
    <col min="15871" max="15871" width="4.140625" style="60" customWidth="1"/>
    <col min="15872" max="15872" width="2.85546875" style="60" customWidth="1"/>
    <col min="15873" max="15873" width="3.5703125" style="60" customWidth="1"/>
    <col min="15874" max="15874" width="3.140625" style="60" customWidth="1"/>
    <col min="15875" max="15875" width="51" style="60" customWidth="1"/>
    <col min="15876" max="15877" width="11.5703125" style="60" bestFit="1" customWidth="1"/>
    <col min="15878" max="15878" width="13.28515625" style="60" bestFit="1" customWidth="1"/>
    <col min="15879" max="15879" width="11.5703125" style="60" bestFit="1" customWidth="1"/>
    <col min="15880" max="15880" width="12.28515625" style="60" bestFit="1" customWidth="1"/>
    <col min="15881" max="15881" width="13.42578125" style="60" customWidth="1"/>
    <col min="15882" max="15882" width="13.28515625" style="60" bestFit="1" customWidth="1"/>
    <col min="15883" max="15883" width="11.5703125" style="60" bestFit="1" customWidth="1"/>
    <col min="15884" max="16125" width="11.42578125" style="60"/>
    <col min="16126" max="16126" width="3.28515625" style="60" customWidth="1"/>
    <col min="16127" max="16127" width="4.140625" style="60" customWidth="1"/>
    <col min="16128" max="16128" width="2.85546875" style="60" customWidth="1"/>
    <col min="16129" max="16129" width="3.5703125" style="60" customWidth="1"/>
    <col min="16130" max="16130" width="3.140625" style="60" customWidth="1"/>
    <col min="16131" max="16131" width="51" style="60" customWidth="1"/>
    <col min="16132" max="16133" width="11.5703125" style="60" bestFit="1" customWidth="1"/>
    <col min="16134" max="16134" width="13.28515625" style="60" bestFit="1" customWidth="1"/>
    <col min="16135" max="16135" width="11.5703125" style="60" bestFit="1" customWidth="1"/>
    <col min="16136" max="16136" width="12.28515625" style="60" bestFit="1" customWidth="1"/>
    <col min="16137" max="16137" width="13.42578125" style="60" customWidth="1"/>
    <col min="16138" max="16138" width="13.28515625" style="60" bestFit="1" customWidth="1"/>
    <col min="16139" max="16139" width="11.5703125" style="60" bestFit="1" customWidth="1"/>
    <col min="16140" max="16384" width="11.42578125" style="60"/>
  </cols>
  <sheetData>
    <row r="1" spans="1:13" ht="15" x14ac:dyDescent="0.25">
      <c r="A1" s="137" t="s">
        <v>524</v>
      </c>
      <c r="B1" s="136"/>
      <c r="C1" s="136"/>
      <c r="D1" s="136"/>
      <c r="E1" s="136"/>
      <c r="F1" s="136"/>
      <c r="G1" s="136"/>
      <c r="H1" s="136"/>
      <c r="I1" s="136"/>
      <c r="J1" s="135"/>
      <c r="K1" s="134"/>
    </row>
    <row r="2" spans="1:13" ht="23.25" x14ac:dyDescent="0.35">
      <c r="A2" s="410"/>
      <c r="B2" s="411"/>
      <c r="C2" s="411"/>
      <c r="D2" s="411"/>
      <c r="E2" s="411"/>
      <c r="F2" s="411"/>
      <c r="G2" s="411"/>
      <c r="H2" s="411"/>
      <c r="I2" s="411"/>
      <c r="J2" s="133"/>
      <c r="K2" s="132"/>
    </row>
    <row r="3" spans="1:13" ht="26.25" x14ac:dyDescent="0.4">
      <c r="A3" s="412" t="s">
        <v>523</v>
      </c>
      <c r="B3" s="413"/>
      <c r="C3" s="413"/>
      <c r="D3" s="413"/>
      <c r="E3" s="413"/>
      <c r="F3" s="413"/>
      <c r="G3" s="413"/>
      <c r="H3" s="413"/>
      <c r="I3" s="413"/>
      <c r="J3" s="413"/>
      <c r="K3" s="414"/>
    </row>
    <row r="4" spans="1:13" ht="18.75" x14ac:dyDescent="0.3">
      <c r="A4" s="415" t="s">
        <v>522</v>
      </c>
      <c r="B4" s="416"/>
      <c r="C4" s="416"/>
      <c r="D4" s="416"/>
      <c r="E4" s="416"/>
      <c r="F4" s="416"/>
      <c r="G4" s="416"/>
      <c r="H4" s="416"/>
      <c r="I4" s="416"/>
      <c r="J4" s="416"/>
      <c r="K4" s="417"/>
    </row>
    <row r="5" spans="1:13" ht="15" x14ac:dyDescent="0.25">
      <c r="A5" s="418" t="s">
        <v>521</v>
      </c>
      <c r="B5" s="419"/>
      <c r="C5" s="419"/>
      <c r="D5" s="419"/>
      <c r="E5" s="419"/>
      <c r="F5" s="419"/>
      <c r="G5" s="419"/>
      <c r="H5" s="419"/>
      <c r="I5" s="419"/>
      <c r="J5" s="419"/>
      <c r="K5" s="420"/>
    </row>
    <row r="6" spans="1:13" ht="15.75" x14ac:dyDescent="0.25">
      <c r="A6" s="421" t="s">
        <v>563</v>
      </c>
      <c r="B6" s="422"/>
      <c r="C6" s="422"/>
      <c r="D6" s="422"/>
      <c r="E6" s="422"/>
      <c r="F6" s="422"/>
      <c r="G6" s="422"/>
      <c r="H6" s="422"/>
      <c r="I6" s="422"/>
      <c r="J6" s="422"/>
      <c r="K6" s="423"/>
    </row>
    <row r="7" spans="1:13" ht="15.75" x14ac:dyDescent="0.25">
      <c r="A7" s="430">
        <v>44531</v>
      </c>
      <c r="B7" s="431"/>
      <c r="C7" s="431"/>
      <c r="D7" s="431"/>
      <c r="E7" s="431"/>
      <c r="F7" s="431"/>
      <c r="G7" s="431"/>
      <c r="H7" s="431"/>
      <c r="I7" s="431"/>
      <c r="J7" s="431"/>
      <c r="K7" s="423"/>
    </row>
    <row r="8" spans="1:13" ht="15.75" x14ac:dyDescent="0.25">
      <c r="A8" s="131"/>
      <c r="B8" s="130"/>
      <c r="C8" s="130" t="s">
        <v>520</v>
      </c>
      <c r="D8" s="130"/>
      <c r="E8" s="130"/>
      <c r="F8" s="130"/>
      <c r="G8" s="130"/>
      <c r="H8" s="130"/>
      <c r="I8" s="130"/>
      <c r="J8" s="130"/>
      <c r="K8" s="129"/>
    </row>
    <row r="9" spans="1:13" ht="15.75" x14ac:dyDescent="0.25">
      <c r="A9" s="115"/>
      <c r="B9" s="114"/>
      <c r="C9" s="114"/>
      <c r="D9" s="114"/>
      <c r="E9" s="128" t="s">
        <v>519</v>
      </c>
      <c r="F9" s="103"/>
      <c r="G9" s="127"/>
      <c r="H9" s="127"/>
      <c r="I9" s="127"/>
      <c r="J9" s="127"/>
      <c r="K9" s="102"/>
    </row>
    <row r="10" spans="1:13" ht="15.75" x14ac:dyDescent="0.25">
      <c r="A10" s="115"/>
      <c r="B10" s="114"/>
      <c r="C10" s="114"/>
      <c r="D10" s="114"/>
      <c r="E10" s="120" t="s">
        <v>517</v>
      </c>
      <c r="F10" s="103"/>
      <c r="G10" s="116"/>
      <c r="H10" s="124" t="s">
        <v>516</v>
      </c>
      <c r="I10" s="124"/>
      <c r="J10" s="116">
        <v>4664857.46</v>
      </c>
      <c r="K10" s="102"/>
    </row>
    <row r="11" spans="1:13" ht="15.75" x14ac:dyDescent="0.25">
      <c r="A11" s="115"/>
      <c r="B11" s="114"/>
      <c r="C11" s="114"/>
      <c r="D11" s="114"/>
      <c r="E11" s="120" t="s">
        <v>515</v>
      </c>
      <c r="F11" s="103"/>
      <c r="G11" s="116"/>
      <c r="H11" s="126"/>
      <c r="I11" s="124"/>
      <c r="J11" s="121"/>
      <c r="K11" s="102"/>
    </row>
    <row r="12" spans="1:13" ht="15.75" x14ac:dyDescent="0.25">
      <c r="A12" s="115"/>
      <c r="B12" s="114"/>
      <c r="C12" s="114"/>
      <c r="D12" s="114"/>
      <c r="E12" s="120" t="s">
        <v>514</v>
      </c>
      <c r="F12" s="103"/>
      <c r="G12" s="123"/>
      <c r="H12" s="122"/>
      <c r="I12" s="122"/>
      <c r="J12" s="121"/>
      <c r="K12" s="102"/>
    </row>
    <row r="13" spans="1:13" ht="15.75" x14ac:dyDescent="0.25">
      <c r="A13" s="115"/>
      <c r="B13" s="114"/>
      <c r="C13" s="114"/>
      <c r="D13" s="114"/>
      <c r="E13" s="125" t="s">
        <v>518</v>
      </c>
      <c r="F13" s="103"/>
      <c r="G13" s="121"/>
      <c r="H13" s="121"/>
      <c r="I13" s="121"/>
      <c r="J13" s="121"/>
      <c r="K13" s="102"/>
    </row>
    <row r="14" spans="1:13" ht="15.75" x14ac:dyDescent="0.25">
      <c r="A14" s="115"/>
      <c r="B14" s="114"/>
      <c r="C14" s="114"/>
      <c r="D14" s="114"/>
      <c r="E14" s="120" t="s">
        <v>517</v>
      </c>
      <c r="F14" s="103"/>
      <c r="G14" s="116">
        <v>21319779.120000001</v>
      </c>
      <c r="H14" s="124" t="s">
        <v>516</v>
      </c>
      <c r="I14" s="124"/>
      <c r="J14" s="116"/>
      <c r="K14" s="102"/>
    </row>
    <row r="15" spans="1:13" ht="15.75" x14ac:dyDescent="0.25">
      <c r="A15" s="115"/>
      <c r="B15" s="114"/>
      <c r="C15" s="114"/>
      <c r="D15" s="114"/>
      <c r="E15" s="120" t="s">
        <v>515</v>
      </c>
      <c r="F15" s="103"/>
      <c r="G15" s="123"/>
      <c r="H15" s="122" t="s">
        <v>501</v>
      </c>
      <c r="I15" s="122"/>
      <c r="J15" s="220">
        <f>+I25</f>
        <v>891749.78</v>
      </c>
      <c r="K15" s="102"/>
      <c r="M15" s="189"/>
    </row>
    <row r="16" spans="1:13" ht="15.75" x14ac:dyDescent="0.25">
      <c r="A16" s="115"/>
      <c r="B16" s="114"/>
      <c r="C16" s="114"/>
      <c r="D16" s="114"/>
      <c r="E16" s="120" t="s">
        <v>514</v>
      </c>
      <c r="F16" s="103"/>
      <c r="G16" s="386">
        <v>56242261.200000003</v>
      </c>
      <c r="H16" s="122"/>
      <c r="I16" s="122"/>
      <c r="J16" s="121"/>
      <c r="K16" s="102"/>
    </row>
    <row r="17" spans="1:12" ht="15.75" x14ac:dyDescent="0.25">
      <c r="A17" s="115"/>
      <c r="B17" s="114"/>
      <c r="C17" s="114"/>
      <c r="D17" s="114"/>
      <c r="E17" s="120"/>
      <c r="F17" s="103"/>
      <c r="G17" s="119"/>
      <c r="H17" s="118" t="s">
        <v>513</v>
      </c>
      <c r="I17" s="117"/>
      <c r="J17" s="215">
        <f>+G10+G11+G12+G14+G15+G16+J10+J14</f>
        <v>82226897.780000001</v>
      </c>
      <c r="K17" s="214"/>
    </row>
    <row r="18" spans="1:12" ht="15.75" x14ac:dyDescent="0.25">
      <c r="A18" s="115"/>
      <c r="B18" s="114"/>
      <c r="C18" s="114"/>
      <c r="D18" s="114"/>
      <c r="E18" s="113"/>
      <c r="F18" s="112"/>
      <c r="G18" s="190"/>
      <c r="H18" s="111"/>
      <c r="I18" s="103"/>
      <c r="J18" s="103" t="s">
        <v>564</v>
      </c>
      <c r="K18" s="102"/>
    </row>
    <row r="19" spans="1:12" ht="15.75" x14ac:dyDescent="0.25">
      <c r="A19" s="110"/>
      <c r="B19" s="108"/>
      <c r="C19" s="109"/>
      <c r="D19" s="108"/>
      <c r="E19" s="107"/>
      <c r="F19" s="106"/>
      <c r="G19" s="106"/>
      <c r="H19" s="106"/>
      <c r="I19" s="105"/>
      <c r="J19" s="105"/>
      <c r="K19" s="191"/>
    </row>
    <row r="20" spans="1:12" x14ac:dyDescent="0.2">
      <c r="A20" s="104"/>
      <c r="B20" s="103"/>
      <c r="C20" s="103"/>
      <c r="D20" s="103"/>
      <c r="E20" s="103"/>
      <c r="F20" s="103"/>
      <c r="G20" s="103"/>
      <c r="H20" s="103"/>
      <c r="I20" s="103"/>
      <c r="J20" s="103"/>
      <c r="K20" s="102"/>
    </row>
    <row r="21" spans="1:12" x14ac:dyDescent="0.2">
      <c r="A21" s="432">
        <v>1</v>
      </c>
      <c r="B21" s="432"/>
      <c r="C21" s="432"/>
      <c r="D21" s="432"/>
      <c r="E21" s="432"/>
      <c r="F21" s="188">
        <v>2</v>
      </c>
      <c r="G21" s="433">
        <v>3</v>
      </c>
      <c r="H21" s="434"/>
      <c r="I21" s="434"/>
      <c r="J21" s="101">
        <v>4</v>
      </c>
      <c r="K21" s="101">
        <v>5</v>
      </c>
    </row>
    <row r="22" spans="1:12" ht="20.25" customHeight="1" x14ac:dyDescent="0.2">
      <c r="A22" s="440" t="s">
        <v>512</v>
      </c>
      <c r="B22" s="440"/>
      <c r="C22" s="440"/>
      <c r="D22" s="440"/>
      <c r="E22" s="440"/>
      <c r="F22" s="441" t="s">
        <v>511</v>
      </c>
      <c r="G22" s="444" t="s">
        <v>510</v>
      </c>
      <c r="H22" s="445"/>
      <c r="I22" s="446"/>
      <c r="J22" s="424" t="s">
        <v>120</v>
      </c>
      <c r="K22" s="427" t="s">
        <v>509</v>
      </c>
    </row>
    <row r="23" spans="1:12" ht="12.75" customHeight="1" x14ac:dyDescent="0.2">
      <c r="A23" s="435" t="s">
        <v>508</v>
      </c>
      <c r="B23" s="435" t="s">
        <v>507</v>
      </c>
      <c r="C23" s="435" t="s">
        <v>506</v>
      </c>
      <c r="D23" s="435" t="s">
        <v>505</v>
      </c>
      <c r="E23" s="435" t="s">
        <v>504</v>
      </c>
      <c r="F23" s="442"/>
      <c r="G23" s="437" t="s">
        <v>503</v>
      </c>
      <c r="H23" s="439" t="s">
        <v>502</v>
      </c>
      <c r="I23" s="439" t="s">
        <v>501</v>
      </c>
      <c r="J23" s="425"/>
      <c r="K23" s="428"/>
    </row>
    <row r="24" spans="1:12" ht="29.25" customHeight="1" x14ac:dyDescent="0.2">
      <c r="A24" s="436"/>
      <c r="B24" s="436"/>
      <c r="C24" s="436"/>
      <c r="D24" s="436"/>
      <c r="E24" s="436"/>
      <c r="F24" s="443"/>
      <c r="G24" s="438"/>
      <c r="H24" s="437"/>
      <c r="I24" s="437"/>
      <c r="J24" s="426"/>
      <c r="K24" s="429"/>
    </row>
    <row r="25" spans="1:12" ht="13.5" thickBot="1" x14ac:dyDescent="0.25">
      <c r="A25" s="100">
        <v>2</v>
      </c>
      <c r="B25" s="99"/>
      <c r="C25" s="99"/>
      <c r="D25" s="99"/>
      <c r="E25" s="99"/>
      <c r="F25" s="98" t="s">
        <v>500</v>
      </c>
      <c r="G25" s="97">
        <f>+G26+G89+G211+G327+G333+G460</f>
        <v>34132079.530000001</v>
      </c>
      <c r="H25" s="97">
        <f>+H26+H89+H211+H327+H333+H460</f>
        <v>69343388.950000003</v>
      </c>
      <c r="I25" s="97">
        <f>+I26+I89+I211+I327+I333+I460</f>
        <v>891749.78</v>
      </c>
      <c r="J25" s="97">
        <f>SUM(G25:H25)</f>
        <v>103475468.48</v>
      </c>
      <c r="K25" s="96">
        <f>+K26+K89+K211+K327+K333+K460</f>
        <v>1</v>
      </c>
    </row>
    <row r="26" spans="1:12" ht="13.5" thickTop="1" x14ac:dyDescent="0.2">
      <c r="A26" s="95">
        <v>2</v>
      </c>
      <c r="B26" s="94">
        <v>1</v>
      </c>
      <c r="C26" s="94"/>
      <c r="D26" s="94"/>
      <c r="E26" s="94"/>
      <c r="F26" s="93" t="s">
        <v>499</v>
      </c>
      <c r="G26" s="92">
        <f>+G27+G53+G66+G73+G80</f>
        <v>34132079.530000001</v>
      </c>
      <c r="H26" s="92">
        <f t="shared" ref="H26:I26" si="0">+H27+H53+H66+H73+H80</f>
        <v>32653185.789999999</v>
      </c>
      <c r="I26" s="92">
        <f t="shared" si="0"/>
        <v>891749.78</v>
      </c>
      <c r="J26" s="92">
        <f>SUM(G26:H26)</f>
        <v>66785265.32</v>
      </c>
      <c r="K26" s="77">
        <f>J26/$J$25</f>
        <v>0.6454212413921897</v>
      </c>
    </row>
    <row r="27" spans="1:12" x14ac:dyDescent="0.2">
      <c r="A27" s="85">
        <v>2</v>
      </c>
      <c r="B27" s="80">
        <v>1</v>
      </c>
      <c r="C27" s="80">
        <v>1</v>
      </c>
      <c r="D27" s="80"/>
      <c r="E27" s="80"/>
      <c r="F27" s="85" t="s">
        <v>498</v>
      </c>
      <c r="G27" s="78">
        <f>+G28+G35+G44+G46+G48</f>
        <v>30884845.27</v>
      </c>
      <c r="H27" s="78">
        <f t="shared" ref="H27:I27" si="1">+H28+H35+H44+H46+H48</f>
        <v>15343522.76</v>
      </c>
      <c r="I27" s="78">
        <f t="shared" si="1"/>
        <v>891749.78</v>
      </c>
      <c r="J27" s="78">
        <f>SUM(G27:H27)</f>
        <v>46228368.030000001</v>
      </c>
      <c r="K27" s="77"/>
    </row>
    <row r="28" spans="1:12" x14ac:dyDescent="0.2">
      <c r="A28" s="74">
        <v>2</v>
      </c>
      <c r="B28" s="73">
        <v>1</v>
      </c>
      <c r="C28" s="73">
        <v>1</v>
      </c>
      <c r="D28" s="73">
        <v>1</v>
      </c>
      <c r="E28" s="73"/>
      <c r="F28" s="74" t="s">
        <v>497</v>
      </c>
      <c r="G28" s="70">
        <f>SUM(G29:G34)</f>
        <v>16750493.789999999</v>
      </c>
      <c r="H28" s="70">
        <f t="shared" ref="H28:I28" si="2">SUM(H29:H34)</f>
        <v>0</v>
      </c>
      <c r="I28" s="70">
        <f t="shared" si="2"/>
        <v>891749.78</v>
      </c>
      <c r="J28" s="70">
        <f>SUM(G28:H28)</f>
        <v>16750493.789999999</v>
      </c>
      <c r="K28" s="69"/>
      <c r="L28" s="192"/>
    </row>
    <row r="29" spans="1:12" x14ac:dyDescent="0.2">
      <c r="A29" s="68">
        <v>2</v>
      </c>
      <c r="B29" s="67">
        <v>1</v>
      </c>
      <c r="C29" s="67">
        <v>1</v>
      </c>
      <c r="D29" s="67">
        <v>1</v>
      </c>
      <c r="E29" s="82" t="s">
        <v>178</v>
      </c>
      <c r="F29" s="68" t="s">
        <v>496</v>
      </c>
      <c r="G29" s="64">
        <v>16750493.789999999</v>
      </c>
      <c r="H29" s="64"/>
      <c r="I29" s="64">
        <v>891749.78</v>
      </c>
      <c r="J29" s="64">
        <f>SUM(G29:H29)</f>
        <v>16750493.789999999</v>
      </c>
      <c r="K29" s="63">
        <f>J29/$J$25</f>
        <v>0.16187888816601567</v>
      </c>
      <c r="L29" s="179"/>
    </row>
    <row r="30" spans="1:12" x14ac:dyDescent="0.2">
      <c r="A30" s="68">
        <v>2</v>
      </c>
      <c r="B30" s="67">
        <v>1</v>
      </c>
      <c r="C30" s="67">
        <v>1</v>
      </c>
      <c r="D30" s="67">
        <v>1</v>
      </c>
      <c r="E30" s="82" t="s">
        <v>182</v>
      </c>
      <c r="F30" s="68" t="s">
        <v>495</v>
      </c>
      <c r="G30" s="64"/>
      <c r="H30" s="64"/>
      <c r="I30" s="64"/>
      <c r="J30" s="64">
        <f t="shared" ref="J30:J34" si="3">SUM(G30:I30)</f>
        <v>0</v>
      </c>
      <c r="K30" s="63">
        <f t="shared" ref="K30:K34" si="4">J30/$J$25</f>
        <v>0</v>
      </c>
      <c r="L30" s="193"/>
    </row>
    <row r="31" spans="1:12" x14ac:dyDescent="0.2">
      <c r="A31" s="68">
        <v>2</v>
      </c>
      <c r="B31" s="67">
        <v>1</v>
      </c>
      <c r="C31" s="67">
        <v>1</v>
      </c>
      <c r="D31" s="67">
        <v>1</v>
      </c>
      <c r="E31" s="82" t="s">
        <v>180</v>
      </c>
      <c r="F31" s="68" t="s">
        <v>494</v>
      </c>
      <c r="G31" s="64"/>
      <c r="H31" s="64"/>
      <c r="I31" s="64"/>
      <c r="J31" s="64">
        <f t="shared" si="3"/>
        <v>0</v>
      </c>
      <c r="K31" s="63">
        <f t="shared" si="4"/>
        <v>0</v>
      </c>
    </row>
    <row r="32" spans="1:12" x14ac:dyDescent="0.2">
      <c r="A32" s="68">
        <v>2</v>
      </c>
      <c r="B32" s="67">
        <v>1</v>
      </c>
      <c r="C32" s="67">
        <v>1</v>
      </c>
      <c r="D32" s="67">
        <v>1</v>
      </c>
      <c r="E32" s="82" t="s">
        <v>260</v>
      </c>
      <c r="F32" s="68" t="s">
        <v>493</v>
      </c>
      <c r="G32" s="64"/>
      <c r="H32" s="64"/>
      <c r="I32" s="64"/>
      <c r="J32" s="64">
        <f t="shared" si="3"/>
        <v>0</v>
      </c>
      <c r="K32" s="63">
        <f>J32/$J$25</f>
        <v>0</v>
      </c>
    </row>
    <row r="33" spans="1:11" x14ac:dyDescent="0.2">
      <c r="A33" s="68">
        <v>2</v>
      </c>
      <c r="B33" s="67">
        <v>1</v>
      </c>
      <c r="C33" s="67">
        <v>1</v>
      </c>
      <c r="D33" s="67">
        <v>1</v>
      </c>
      <c r="E33" s="82" t="s">
        <v>258</v>
      </c>
      <c r="F33" s="68" t="s">
        <v>492</v>
      </c>
      <c r="G33" s="64"/>
      <c r="H33" s="64"/>
      <c r="I33" s="64"/>
      <c r="J33" s="64">
        <f t="shared" si="3"/>
        <v>0</v>
      </c>
      <c r="K33" s="63">
        <f t="shared" si="4"/>
        <v>0</v>
      </c>
    </row>
    <row r="34" spans="1:11" x14ac:dyDescent="0.2">
      <c r="A34" s="68">
        <v>2</v>
      </c>
      <c r="B34" s="67">
        <v>1</v>
      </c>
      <c r="C34" s="67">
        <v>1</v>
      </c>
      <c r="D34" s="67">
        <v>1</v>
      </c>
      <c r="E34" s="82" t="s">
        <v>282</v>
      </c>
      <c r="F34" s="68" t="s">
        <v>491</v>
      </c>
      <c r="G34" s="64"/>
      <c r="H34" s="64"/>
      <c r="I34" s="64"/>
      <c r="J34" s="64">
        <f t="shared" si="3"/>
        <v>0</v>
      </c>
      <c r="K34" s="63">
        <f t="shared" si="4"/>
        <v>0</v>
      </c>
    </row>
    <row r="35" spans="1:11" x14ac:dyDescent="0.2">
      <c r="A35" s="74">
        <v>2</v>
      </c>
      <c r="B35" s="73">
        <v>1</v>
      </c>
      <c r="C35" s="73">
        <v>1</v>
      </c>
      <c r="D35" s="73">
        <v>2</v>
      </c>
      <c r="E35" s="73"/>
      <c r="F35" s="74" t="s">
        <v>490</v>
      </c>
      <c r="G35" s="70">
        <f>SUM(G36:G43)</f>
        <v>0</v>
      </c>
      <c r="H35" s="70">
        <f>SUM(H36:H43)</f>
        <v>7792558.3099999996</v>
      </c>
      <c r="I35" s="70">
        <f>SUM(I36:I43)</f>
        <v>0</v>
      </c>
      <c r="J35" s="70">
        <f>+J36+J37+J38+J39+J40+J41+J42+J43</f>
        <v>7792558.3099999996</v>
      </c>
      <c r="K35" s="69"/>
    </row>
    <row r="36" spans="1:11" x14ac:dyDescent="0.2">
      <c r="A36" s="68">
        <v>2</v>
      </c>
      <c r="B36" s="67">
        <v>1</v>
      </c>
      <c r="C36" s="67">
        <v>1</v>
      </c>
      <c r="D36" s="67">
        <v>2</v>
      </c>
      <c r="E36" s="82" t="s">
        <v>178</v>
      </c>
      <c r="F36" s="68" t="s">
        <v>489</v>
      </c>
      <c r="G36" s="64"/>
      <c r="H36" s="64"/>
      <c r="I36" s="64"/>
      <c r="J36" s="64">
        <f>SUM(G36:I36)</f>
        <v>0</v>
      </c>
      <c r="K36" s="63">
        <f t="shared" ref="K36:K41" si="5">J36/$J$25</f>
        <v>0</v>
      </c>
    </row>
    <row r="37" spans="1:11" x14ac:dyDescent="0.2">
      <c r="A37" s="68">
        <v>2</v>
      </c>
      <c r="B37" s="67">
        <v>1</v>
      </c>
      <c r="C37" s="67">
        <v>1</v>
      </c>
      <c r="D37" s="67">
        <v>2</v>
      </c>
      <c r="E37" s="82" t="s">
        <v>182</v>
      </c>
      <c r="F37" s="68" t="s">
        <v>488</v>
      </c>
      <c r="G37" s="64"/>
      <c r="H37" s="64"/>
      <c r="I37" s="64"/>
      <c r="J37" s="64">
        <f t="shared" ref="J37:J42" si="6">SUM(G37:I37)</f>
        <v>0</v>
      </c>
      <c r="K37" s="63">
        <f t="shared" si="5"/>
        <v>0</v>
      </c>
    </row>
    <row r="38" spans="1:11" x14ac:dyDescent="0.2">
      <c r="A38" s="68">
        <v>2</v>
      </c>
      <c r="B38" s="67">
        <v>1</v>
      </c>
      <c r="C38" s="67">
        <v>1</v>
      </c>
      <c r="D38" s="67">
        <v>2</v>
      </c>
      <c r="E38" s="82" t="s">
        <v>180</v>
      </c>
      <c r="F38" s="68" t="s">
        <v>487</v>
      </c>
      <c r="G38" s="64"/>
      <c r="H38" s="64"/>
      <c r="I38" s="64"/>
      <c r="J38" s="64">
        <f t="shared" si="6"/>
        <v>0</v>
      </c>
      <c r="K38" s="63">
        <f t="shared" si="5"/>
        <v>0</v>
      </c>
    </row>
    <row r="39" spans="1:11" x14ac:dyDescent="0.2">
      <c r="A39" s="68">
        <v>2</v>
      </c>
      <c r="B39" s="67">
        <v>1</v>
      </c>
      <c r="C39" s="67">
        <v>1</v>
      </c>
      <c r="D39" s="67">
        <v>2</v>
      </c>
      <c r="E39" s="82" t="s">
        <v>260</v>
      </c>
      <c r="F39" s="68" t="s">
        <v>486</v>
      </c>
      <c r="G39" s="64"/>
      <c r="H39" s="64"/>
      <c r="I39" s="64"/>
      <c r="J39" s="64">
        <f t="shared" si="6"/>
        <v>0</v>
      </c>
      <c r="K39" s="63">
        <f t="shared" si="5"/>
        <v>0</v>
      </c>
    </row>
    <row r="40" spans="1:11" x14ac:dyDescent="0.2">
      <c r="A40" s="68">
        <v>2</v>
      </c>
      <c r="B40" s="67">
        <v>1</v>
      </c>
      <c r="C40" s="67">
        <v>1</v>
      </c>
      <c r="D40" s="67">
        <v>2</v>
      </c>
      <c r="E40" s="82" t="s">
        <v>258</v>
      </c>
      <c r="F40" s="68" t="s">
        <v>485</v>
      </c>
      <c r="G40" s="64"/>
      <c r="H40" s="64"/>
      <c r="I40" s="64"/>
      <c r="J40" s="64">
        <f t="shared" si="6"/>
        <v>0</v>
      </c>
      <c r="K40" s="63">
        <f t="shared" si="5"/>
        <v>0</v>
      </c>
    </row>
    <row r="41" spans="1:11" x14ac:dyDescent="0.2">
      <c r="A41" s="68">
        <v>2</v>
      </c>
      <c r="B41" s="67">
        <v>1</v>
      </c>
      <c r="C41" s="67">
        <v>1</v>
      </c>
      <c r="D41" s="67">
        <v>2</v>
      </c>
      <c r="E41" s="82" t="s">
        <v>282</v>
      </c>
      <c r="F41" s="68" t="s">
        <v>484</v>
      </c>
      <c r="G41" s="64"/>
      <c r="H41" s="64"/>
      <c r="I41" s="64"/>
      <c r="J41" s="64">
        <f t="shared" si="6"/>
        <v>0</v>
      </c>
      <c r="K41" s="63">
        <f t="shared" si="5"/>
        <v>0</v>
      </c>
    </row>
    <row r="42" spans="1:11" x14ac:dyDescent="0.2">
      <c r="A42" s="68">
        <v>2</v>
      </c>
      <c r="B42" s="67">
        <v>1</v>
      </c>
      <c r="C42" s="67">
        <v>1</v>
      </c>
      <c r="D42" s="67">
        <v>2</v>
      </c>
      <c r="E42" s="82" t="s">
        <v>385</v>
      </c>
      <c r="F42" s="68" t="s">
        <v>483</v>
      </c>
      <c r="G42" s="64"/>
      <c r="H42" s="64">
        <v>7743136.3099999996</v>
      </c>
      <c r="I42" s="64"/>
      <c r="J42" s="64">
        <f t="shared" si="6"/>
        <v>7743136.3099999996</v>
      </c>
      <c r="K42" s="63">
        <f>J42/$J$25</f>
        <v>7.4830647531657343E-2</v>
      </c>
    </row>
    <row r="43" spans="1:11" x14ac:dyDescent="0.2">
      <c r="A43" s="68">
        <v>2</v>
      </c>
      <c r="B43" s="67">
        <v>1</v>
      </c>
      <c r="C43" s="67">
        <v>1</v>
      </c>
      <c r="D43" s="67">
        <v>2</v>
      </c>
      <c r="E43" s="82" t="s">
        <v>466</v>
      </c>
      <c r="F43" s="68" t="s">
        <v>565</v>
      </c>
      <c r="G43" s="64"/>
      <c r="H43" s="64">
        <v>49422</v>
      </c>
      <c r="I43" s="64"/>
      <c r="J43" s="83">
        <f t="shared" ref="J43:J48" si="7">SUM(G43:I43)</f>
        <v>49422</v>
      </c>
      <c r="K43" s="63">
        <f>J43/$J$25</f>
        <v>4.7762045174554977E-4</v>
      </c>
    </row>
    <row r="44" spans="1:11" x14ac:dyDescent="0.2">
      <c r="A44" s="74">
        <v>2</v>
      </c>
      <c r="B44" s="73">
        <v>1</v>
      </c>
      <c r="C44" s="73">
        <v>1</v>
      </c>
      <c r="D44" s="73">
        <v>3</v>
      </c>
      <c r="E44" s="73"/>
      <c r="F44" s="74" t="s">
        <v>482</v>
      </c>
      <c r="G44" s="70">
        <f>SUM(G45)</f>
        <v>0</v>
      </c>
      <c r="H44" s="70">
        <f t="shared" ref="H44:I44" si="8">SUM(H45)</f>
        <v>0</v>
      </c>
      <c r="I44" s="70">
        <f t="shared" si="8"/>
        <v>0</v>
      </c>
      <c r="J44" s="70">
        <f t="shared" si="7"/>
        <v>0</v>
      </c>
      <c r="K44" s="69"/>
    </row>
    <row r="45" spans="1:11" x14ac:dyDescent="0.2">
      <c r="A45" s="68">
        <v>2</v>
      </c>
      <c r="B45" s="67">
        <v>1</v>
      </c>
      <c r="C45" s="67">
        <v>1</v>
      </c>
      <c r="D45" s="67">
        <v>3</v>
      </c>
      <c r="E45" s="82" t="s">
        <v>178</v>
      </c>
      <c r="F45" s="68" t="s">
        <v>482</v>
      </c>
      <c r="G45" s="64"/>
      <c r="H45" s="64"/>
      <c r="I45" s="64"/>
      <c r="J45" s="64">
        <f t="shared" si="7"/>
        <v>0</v>
      </c>
      <c r="K45" s="63">
        <f>J45/$J$25</f>
        <v>0</v>
      </c>
    </row>
    <row r="46" spans="1:11" x14ac:dyDescent="0.2">
      <c r="A46" s="74">
        <v>2</v>
      </c>
      <c r="B46" s="73">
        <v>1</v>
      </c>
      <c r="C46" s="73">
        <v>1</v>
      </c>
      <c r="D46" s="73">
        <v>4</v>
      </c>
      <c r="E46" s="73"/>
      <c r="F46" s="74" t="s">
        <v>481</v>
      </c>
      <c r="G46" s="70">
        <f>SUM(G47)</f>
        <v>14134351.48</v>
      </c>
      <c r="H46" s="70">
        <f t="shared" ref="H46:I46" si="9">SUM(H47)</f>
        <v>7550964.4500000002</v>
      </c>
      <c r="I46" s="70">
        <f t="shared" si="9"/>
        <v>0</v>
      </c>
      <c r="J46" s="70">
        <f t="shared" si="7"/>
        <v>21685315.93</v>
      </c>
      <c r="K46" s="69"/>
    </row>
    <row r="47" spans="1:11" x14ac:dyDescent="0.2">
      <c r="A47" s="68">
        <v>2</v>
      </c>
      <c r="B47" s="67">
        <v>1</v>
      </c>
      <c r="C47" s="67">
        <v>1</v>
      </c>
      <c r="D47" s="67">
        <v>4</v>
      </c>
      <c r="E47" s="82" t="s">
        <v>178</v>
      </c>
      <c r="F47" s="68" t="s">
        <v>481</v>
      </c>
      <c r="G47" s="64">
        <v>14134351.48</v>
      </c>
      <c r="H47" s="64">
        <f>7373964.45+[1]TRANSFERENCIA!$E$9</f>
        <v>7550964.4500000002</v>
      </c>
      <c r="I47" s="64"/>
      <c r="J47" s="64">
        <f t="shared" si="7"/>
        <v>21685315.93</v>
      </c>
      <c r="K47" s="63">
        <f>J47/$J$25</f>
        <v>0.20956963276944612</v>
      </c>
    </row>
    <row r="48" spans="1:11" x14ac:dyDescent="0.2">
      <c r="A48" s="74">
        <v>2</v>
      </c>
      <c r="B48" s="73">
        <v>1</v>
      </c>
      <c r="C48" s="73">
        <v>1</v>
      </c>
      <c r="D48" s="73">
        <v>5</v>
      </c>
      <c r="E48" s="73"/>
      <c r="F48" s="74" t="s">
        <v>480</v>
      </c>
      <c r="G48" s="70">
        <f>SUM(G49:G52)</f>
        <v>0</v>
      </c>
      <c r="H48" s="70">
        <f t="shared" ref="H48:I48" si="10">SUM(H49:H52)</f>
        <v>0</v>
      </c>
      <c r="I48" s="70">
        <f t="shared" si="10"/>
        <v>0</v>
      </c>
      <c r="J48" s="70">
        <f t="shared" si="7"/>
        <v>0</v>
      </c>
      <c r="K48" s="69"/>
    </row>
    <row r="49" spans="1:11" x14ac:dyDescent="0.2">
      <c r="A49" s="68">
        <v>2</v>
      </c>
      <c r="B49" s="67">
        <v>1</v>
      </c>
      <c r="C49" s="67">
        <v>1</v>
      </c>
      <c r="D49" s="67">
        <v>5</v>
      </c>
      <c r="E49" s="82" t="s">
        <v>178</v>
      </c>
      <c r="F49" s="68" t="s">
        <v>480</v>
      </c>
      <c r="G49" s="64"/>
      <c r="H49" s="64"/>
      <c r="I49" s="64"/>
      <c r="J49" s="64">
        <f t="shared" ref="J49:J112" si="11">SUM(G49:I49)</f>
        <v>0</v>
      </c>
      <c r="K49" s="63">
        <f t="shared" ref="K49:K52" si="12">J49/$J$25</f>
        <v>0</v>
      </c>
    </row>
    <row r="50" spans="1:11" x14ac:dyDescent="0.2">
      <c r="A50" s="68">
        <v>2</v>
      </c>
      <c r="B50" s="67">
        <v>1</v>
      </c>
      <c r="C50" s="67">
        <v>1</v>
      </c>
      <c r="D50" s="67">
        <v>5</v>
      </c>
      <c r="E50" s="82" t="s">
        <v>182</v>
      </c>
      <c r="F50" s="68" t="s">
        <v>479</v>
      </c>
      <c r="G50" s="64"/>
      <c r="H50" s="64"/>
      <c r="I50" s="64"/>
      <c r="J50" s="64">
        <f t="shared" si="11"/>
        <v>0</v>
      </c>
      <c r="K50" s="63">
        <f t="shared" si="12"/>
        <v>0</v>
      </c>
    </row>
    <row r="51" spans="1:11" x14ac:dyDescent="0.2">
      <c r="A51" s="68">
        <v>2</v>
      </c>
      <c r="B51" s="67">
        <v>1</v>
      </c>
      <c r="C51" s="67">
        <v>1</v>
      </c>
      <c r="D51" s="67">
        <v>5</v>
      </c>
      <c r="E51" s="82" t="s">
        <v>180</v>
      </c>
      <c r="F51" s="68" t="s">
        <v>478</v>
      </c>
      <c r="G51" s="64"/>
      <c r="H51" s="64"/>
      <c r="I51" s="64"/>
      <c r="J51" s="64">
        <f t="shared" si="11"/>
        <v>0</v>
      </c>
      <c r="K51" s="63">
        <f t="shared" si="12"/>
        <v>0</v>
      </c>
    </row>
    <row r="52" spans="1:11" x14ac:dyDescent="0.2">
      <c r="A52" s="68">
        <v>2</v>
      </c>
      <c r="B52" s="67">
        <v>1</v>
      </c>
      <c r="C52" s="67">
        <v>1</v>
      </c>
      <c r="D52" s="67">
        <v>5</v>
      </c>
      <c r="E52" s="82" t="s">
        <v>260</v>
      </c>
      <c r="F52" s="68" t="s">
        <v>477</v>
      </c>
      <c r="G52" s="64"/>
      <c r="H52" s="64"/>
      <c r="I52" s="64"/>
      <c r="J52" s="64">
        <f t="shared" si="11"/>
        <v>0</v>
      </c>
      <c r="K52" s="63">
        <f t="shared" si="12"/>
        <v>0</v>
      </c>
    </row>
    <row r="53" spans="1:11" x14ac:dyDescent="0.2">
      <c r="A53" s="85">
        <v>2</v>
      </c>
      <c r="B53" s="80">
        <v>1</v>
      </c>
      <c r="C53" s="80">
        <v>2</v>
      </c>
      <c r="D53" s="80"/>
      <c r="E53" s="80"/>
      <c r="F53" s="85" t="s">
        <v>476</v>
      </c>
      <c r="G53" s="78">
        <f>+G54+G56</f>
        <v>679031</v>
      </c>
      <c r="H53" s="78">
        <f t="shared" ref="H53:I53" si="13">+H54+H56</f>
        <v>16124021.060000001</v>
      </c>
      <c r="I53" s="78">
        <f t="shared" si="13"/>
        <v>0</v>
      </c>
      <c r="J53" s="78">
        <f>SUM(G53:I53)</f>
        <v>16803052.060000002</v>
      </c>
      <c r="K53" s="77"/>
    </row>
    <row r="54" spans="1:11" x14ac:dyDescent="0.2">
      <c r="A54" s="74">
        <v>2</v>
      </c>
      <c r="B54" s="73">
        <v>1</v>
      </c>
      <c r="C54" s="73">
        <v>2</v>
      </c>
      <c r="D54" s="73">
        <v>1</v>
      </c>
      <c r="E54" s="73"/>
      <c r="F54" s="74" t="s">
        <v>475</v>
      </c>
      <c r="G54" s="70">
        <f>SUM(G55)</f>
        <v>0</v>
      </c>
      <c r="H54" s="70">
        <f t="shared" ref="H54:I54" si="14">SUM(H55)</f>
        <v>0</v>
      </c>
      <c r="I54" s="70">
        <f t="shared" si="14"/>
        <v>0</v>
      </c>
      <c r="J54" s="70">
        <f>SUM(G54:I54)</f>
        <v>0</v>
      </c>
      <c r="K54" s="69"/>
    </row>
    <row r="55" spans="1:11" x14ac:dyDescent="0.2">
      <c r="A55" s="68">
        <v>2</v>
      </c>
      <c r="B55" s="67">
        <v>1</v>
      </c>
      <c r="C55" s="67">
        <v>2</v>
      </c>
      <c r="D55" s="67">
        <v>1</v>
      </c>
      <c r="E55" s="82" t="s">
        <v>178</v>
      </c>
      <c r="F55" s="68" t="s">
        <v>475</v>
      </c>
      <c r="G55" s="64"/>
      <c r="H55" s="64"/>
      <c r="I55" s="64"/>
      <c r="J55" s="64">
        <f>SUM(G55:I55)</f>
        <v>0</v>
      </c>
      <c r="K55" s="63">
        <f>J55/$J$25</f>
        <v>0</v>
      </c>
    </row>
    <row r="56" spans="1:11" x14ac:dyDescent="0.2">
      <c r="A56" s="74">
        <v>2</v>
      </c>
      <c r="B56" s="73">
        <v>1</v>
      </c>
      <c r="C56" s="73">
        <v>2</v>
      </c>
      <c r="D56" s="73">
        <v>2</v>
      </c>
      <c r="E56" s="73"/>
      <c r="F56" s="74" t="s">
        <v>474</v>
      </c>
      <c r="G56" s="194">
        <f>SUM(G57:G65)</f>
        <v>679031</v>
      </c>
      <c r="H56" s="70">
        <f t="shared" ref="H56:I56" si="15">SUM(H57:H65)</f>
        <v>16124021.060000001</v>
      </c>
      <c r="I56" s="70">
        <f t="shared" si="15"/>
        <v>0</v>
      </c>
      <c r="J56" s="70">
        <f>SUM(G56:I56)</f>
        <v>16803052.060000002</v>
      </c>
      <c r="K56" s="69"/>
    </row>
    <row r="57" spans="1:11" x14ac:dyDescent="0.2">
      <c r="A57" s="68">
        <v>2</v>
      </c>
      <c r="B57" s="67">
        <v>1</v>
      </c>
      <c r="C57" s="67">
        <v>2</v>
      </c>
      <c r="D57" s="67">
        <v>2</v>
      </c>
      <c r="E57" s="82" t="s">
        <v>178</v>
      </c>
      <c r="F57" s="68" t="s">
        <v>473</v>
      </c>
      <c r="G57" s="65"/>
      <c r="H57" s="65"/>
      <c r="I57" s="65"/>
      <c r="J57" s="64">
        <f t="shared" si="11"/>
        <v>0</v>
      </c>
      <c r="K57" s="63">
        <f t="shared" ref="K57:K65" si="16">J57/$J$25</f>
        <v>0</v>
      </c>
    </row>
    <row r="58" spans="1:11" ht="25.5" x14ac:dyDescent="0.2">
      <c r="A58" s="68">
        <v>2</v>
      </c>
      <c r="B58" s="67">
        <v>1</v>
      </c>
      <c r="C58" s="67">
        <v>2</v>
      </c>
      <c r="D58" s="67">
        <v>2</v>
      </c>
      <c r="E58" s="82" t="s">
        <v>180</v>
      </c>
      <c r="F58" s="66" t="s">
        <v>472</v>
      </c>
      <c r="G58" s="65"/>
      <c r="H58" s="65"/>
      <c r="I58" s="65"/>
      <c r="J58" s="64">
        <f t="shared" si="11"/>
        <v>0</v>
      </c>
      <c r="K58" s="63">
        <f t="shared" si="16"/>
        <v>0</v>
      </c>
    </row>
    <row r="59" spans="1:11" x14ac:dyDescent="0.2">
      <c r="A59" s="68">
        <v>2</v>
      </c>
      <c r="B59" s="67">
        <v>1</v>
      </c>
      <c r="C59" s="67">
        <v>2</v>
      </c>
      <c r="D59" s="67">
        <v>2</v>
      </c>
      <c r="E59" s="82" t="s">
        <v>260</v>
      </c>
      <c r="F59" s="68" t="s">
        <v>471</v>
      </c>
      <c r="G59" s="65"/>
      <c r="H59" s="65"/>
      <c r="I59" s="65"/>
      <c r="J59" s="64">
        <f t="shared" si="11"/>
        <v>0</v>
      </c>
      <c r="K59" s="63">
        <f t="shared" si="16"/>
        <v>0</v>
      </c>
    </row>
    <row r="60" spans="1:11" x14ac:dyDescent="0.2">
      <c r="A60" s="68">
        <v>2</v>
      </c>
      <c r="B60" s="67">
        <v>1</v>
      </c>
      <c r="C60" s="67">
        <v>2</v>
      </c>
      <c r="D60" s="67">
        <v>2</v>
      </c>
      <c r="E60" s="82" t="s">
        <v>258</v>
      </c>
      <c r="F60" s="68" t="s">
        <v>470</v>
      </c>
      <c r="G60" s="64">
        <v>612618</v>
      </c>
      <c r="H60" s="64"/>
      <c r="I60" s="65"/>
      <c r="J60" s="64">
        <f t="shared" si="11"/>
        <v>612618</v>
      </c>
      <c r="K60" s="63">
        <f t="shared" si="16"/>
        <v>5.9204177473079845E-3</v>
      </c>
    </row>
    <row r="61" spans="1:11" x14ac:dyDescent="0.2">
      <c r="A61" s="68">
        <v>2</v>
      </c>
      <c r="B61" s="67">
        <v>1</v>
      </c>
      <c r="C61" s="67">
        <v>2</v>
      </c>
      <c r="D61" s="67">
        <v>2</v>
      </c>
      <c r="E61" s="82" t="s">
        <v>282</v>
      </c>
      <c r="F61" s="68" t="s">
        <v>469</v>
      </c>
      <c r="G61" s="65"/>
      <c r="H61" s="64">
        <v>16124021.060000001</v>
      </c>
      <c r="I61" s="65"/>
      <c r="J61" s="64">
        <f t="shared" si="11"/>
        <v>16124021.060000001</v>
      </c>
      <c r="K61" s="63">
        <f t="shared" si="16"/>
        <v>0.15582457655764556</v>
      </c>
    </row>
    <row r="62" spans="1:11" x14ac:dyDescent="0.2">
      <c r="A62" s="68">
        <v>2</v>
      </c>
      <c r="B62" s="67">
        <v>1</v>
      </c>
      <c r="C62" s="67">
        <v>2</v>
      </c>
      <c r="D62" s="67">
        <v>2</v>
      </c>
      <c r="E62" s="82" t="s">
        <v>290</v>
      </c>
      <c r="F62" s="68" t="s">
        <v>468</v>
      </c>
      <c r="G62" s="65"/>
      <c r="H62" s="65"/>
      <c r="I62" s="65"/>
      <c r="J62" s="64">
        <f t="shared" si="11"/>
        <v>0</v>
      </c>
      <c r="K62" s="63">
        <f t="shared" si="16"/>
        <v>0</v>
      </c>
    </row>
    <row r="63" spans="1:11" x14ac:dyDescent="0.2">
      <c r="A63" s="68">
        <v>2</v>
      </c>
      <c r="B63" s="67">
        <v>1</v>
      </c>
      <c r="C63" s="67">
        <v>2</v>
      </c>
      <c r="D63" s="67">
        <v>2</v>
      </c>
      <c r="E63" s="82" t="s">
        <v>385</v>
      </c>
      <c r="F63" s="68" t="s">
        <v>467</v>
      </c>
      <c r="G63" s="64">
        <f>+[1]LIBRAMIENTOS!$E$75</f>
        <v>66413</v>
      </c>
      <c r="H63" s="64"/>
      <c r="I63" s="65"/>
      <c r="J63" s="64">
        <f t="shared" si="11"/>
        <v>66413</v>
      </c>
      <c r="K63" s="63">
        <f t="shared" si="16"/>
        <v>6.4182362230944109E-4</v>
      </c>
    </row>
    <row r="64" spans="1:11" x14ac:dyDescent="0.2">
      <c r="A64" s="68">
        <v>2</v>
      </c>
      <c r="B64" s="67">
        <v>1</v>
      </c>
      <c r="C64" s="67">
        <v>2</v>
      </c>
      <c r="D64" s="67">
        <v>2</v>
      </c>
      <c r="E64" s="82" t="s">
        <v>466</v>
      </c>
      <c r="F64" s="68" t="s">
        <v>465</v>
      </c>
      <c r="G64" s="65"/>
      <c r="H64" s="64"/>
      <c r="I64" s="65"/>
      <c r="J64" s="64">
        <f t="shared" si="11"/>
        <v>0</v>
      </c>
      <c r="K64" s="63">
        <f t="shared" si="16"/>
        <v>0</v>
      </c>
    </row>
    <row r="65" spans="1:11" ht="25.5" x14ac:dyDescent="0.2">
      <c r="A65" s="68">
        <v>2</v>
      </c>
      <c r="B65" s="67">
        <v>1</v>
      </c>
      <c r="C65" s="67">
        <v>2</v>
      </c>
      <c r="D65" s="67">
        <v>2</v>
      </c>
      <c r="E65" s="67">
        <v>10</v>
      </c>
      <c r="F65" s="66" t="s">
        <v>464</v>
      </c>
      <c r="G65" s="65"/>
      <c r="H65" s="65"/>
      <c r="I65" s="65"/>
      <c r="J65" s="64">
        <f t="shared" si="11"/>
        <v>0</v>
      </c>
      <c r="K65" s="63">
        <f t="shared" si="16"/>
        <v>0</v>
      </c>
    </row>
    <row r="66" spans="1:11" x14ac:dyDescent="0.2">
      <c r="A66" s="81">
        <v>2</v>
      </c>
      <c r="B66" s="80">
        <v>1</v>
      </c>
      <c r="C66" s="80">
        <v>3</v>
      </c>
      <c r="D66" s="80"/>
      <c r="E66" s="80"/>
      <c r="F66" s="81" t="s">
        <v>463</v>
      </c>
      <c r="G66" s="78">
        <f>+G67+G70</f>
        <v>0</v>
      </c>
      <c r="H66" s="78">
        <f t="shared" ref="H66:I66" si="17">+H67+H70</f>
        <v>0</v>
      </c>
      <c r="I66" s="78">
        <f t="shared" si="17"/>
        <v>0</v>
      </c>
      <c r="J66" s="78">
        <f>SUM(G66:I66)</f>
        <v>0</v>
      </c>
      <c r="K66" s="77"/>
    </row>
    <row r="67" spans="1:11" x14ac:dyDescent="0.2">
      <c r="A67" s="76">
        <v>2</v>
      </c>
      <c r="B67" s="73">
        <v>1</v>
      </c>
      <c r="C67" s="73">
        <v>3</v>
      </c>
      <c r="D67" s="73">
        <v>1</v>
      </c>
      <c r="E67" s="73"/>
      <c r="F67" s="76" t="s">
        <v>462</v>
      </c>
      <c r="G67" s="70">
        <f>SUM(G68:G69)</f>
        <v>0</v>
      </c>
      <c r="H67" s="70">
        <f t="shared" ref="H67:I67" si="18">SUM(H68:H69)</f>
        <v>0</v>
      </c>
      <c r="I67" s="70">
        <f t="shared" si="18"/>
        <v>0</v>
      </c>
      <c r="J67" s="70">
        <f>SUM(G67:I67)</f>
        <v>0</v>
      </c>
      <c r="K67" s="69"/>
    </row>
    <row r="68" spans="1:11" x14ac:dyDescent="0.2">
      <c r="A68" s="75">
        <v>2</v>
      </c>
      <c r="B68" s="67">
        <v>1</v>
      </c>
      <c r="C68" s="67">
        <v>3</v>
      </c>
      <c r="D68" s="67">
        <v>1</v>
      </c>
      <c r="E68" s="82" t="s">
        <v>178</v>
      </c>
      <c r="F68" s="75" t="s">
        <v>461</v>
      </c>
      <c r="G68" s="65"/>
      <c r="H68" s="65"/>
      <c r="I68" s="65"/>
      <c r="J68" s="64">
        <f t="shared" si="11"/>
        <v>0</v>
      </c>
      <c r="K68" s="63">
        <f>J68/$J$25</f>
        <v>0</v>
      </c>
    </row>
    <row r="69" spans="1:11" x14ac:dyDescent="0.2">
      <c r="A69" s="75">
        <v>2</v>
      </c>
      <c r="B69" s="67">
        <v>1</v>
      </c>
      <c r="C69" s="67">
        <v>3</v>
      </c>
      <c r="D69" s="67">
        <v>1</v>
      </c>
      <c r="E69" s="82" t="s">
        <v>182</v>
      </c>
      <c r="F69" s="75" t="s">
        <v>460</v>
      </c>
      <c r="G69" s="65"/>
      <c r="H69" s="65"/>
      <c r="I69" s="65"/>
      <c r="J69" s="64">
        <f t="shared" si="11"/>
        <v>0</v>
      </c>
      <c r="K69" s="63">
        <f>J69/$J$25</f>
        <v>0</v>
      </c>
    </row>
    <row r="70" spans="1:11" x14ac:dyDescent="0.2">
      <c r="A70" s="76">
        <v>2</v>
      </c>
      <c r="B70" s="73">
        <v>1</v>
      </c>
      <c r="C70" s="73">
        <v>3</v>
      </c>
      <c r="D70" s="73">
        <v>2</v>
      </c>
      <c r="E70" s="73"/>
      <c r="F70" s="76" t="s">
        <v>459</v>
      </c>
      <c r="G70" s="70">
        <f>SUM(G71:G72)</f>
        <v>0</v>
      </c>
      <c r="H70" s="70">
        <f t="shared" ref="H70:I70" si="19">SUM(H71:H72)</f>
        <v>0</v>
      </c>
      <c r="I70" s="70">
        <f t="shared" si="19"/>
        <v>0</v>
      </c>
      <c r="J70" s="70">
        <f>SUM(G70:I70)</f>
        <v>0</v>
      </c>
      <c r="K70" s="69"/>
    </row>
    <row r="71" spans="1:11" x14ac:dyDescent="0.2">
      <c r="A71" s="75">
        <v>2</v>
      </c>
      <c r="B71" s="67">
        <v>1</v>
      </c>
      <c r="C71" s="67">
        <v>3</v>
      </c>
      <c r="D71" s="67">
        <v>2</v>
      </c>
      <c r="E71" s="82" t="s">
        <v>178</v>
      </c>
      <c r="F71" s="75" t="s">
        <v>458</v>
      </c>
      <c r="G71" s="65"/>
      <c r="H71" s="65"/>
      <c r="I71" s="65"/>
      <c r="J71" s="64">
        <f t="shared" si="11"/>
        <v>0</v>
      </c>
      <c r="K71" s="63">
        <f>J71/$J$25</f>
        <v>0</v>
      </c>
    </row>
    <row r="72" spans="1:11" x14ac:dyDescent="0.2">
      <c r="A72" s="75">
        <v>2</v>
      </c>
      <c r="B72" s="67">
        <v>1</v>
      </c>
      <c r="C72" s="67">
        <v>3</v>
      </c>
      <c r="D72" s="67">
        <v>2</v>
      </c>
      <c r="E72" s="82" t="s">
        <v>182</v>
      </c>
      <c r="F72" s="75" t="s">
        <v>457</v>
      </c>
      <c r="G72" s="65"/>
      <c r="H72" s="65"/>
      <c r="I72" s="65"/>
      <c r="J72" s="64">
        <f t="shared" si="11"/>
        <v>0</v>
      </c>
      <c r="K72" s="63">
        <f>J72/$J$25</f>
        <v>0</v>
      </c>
    </row>
    <row r="73" spans="1:11" x14ac:dyDescent="0.2">
      <c r="A73" s="81">
        <v>2</v>
      </c>
      <c r="B73" s="80">
        <v>1</v>
      </c>
      <c r="C73" s="80">
        <v>4</v>
      </c>
      <c r="D73" s="80"/>
      <c r="E73" s="80"/>
      <c r="F73" s="81" t="s">
        <v>456</v>
      </c>
      <c r="G73" s="78">
        <f>+G74+G76</f>
        <v>0</v>
      </c>
      <c r="H73" s="78">
        <f t="shared" ref="H73:I73" si="20">+H74+H76</f>
        <v>0</v>
      </c>
      <c r="I73" s="78">
        <f t="shared" si="20"/>
        <v>0</v>
      </c>
      <c r="J73" s="78">
        <f>SUM(G73:I73)</f>
        <v>0</v>
      </c>
      <c r="K73" s="77"/>
    </row>
    <row r="74" spans="1:11" x14ac:dyDescent="0.2">
      <c r="A74" s="74">
        <v>2</v>
      </c>
      <c r="B74" s="73">
        <v>1</v>
      </c>
      <c r="C74" s="73">
        <v>4</v>
      </c>
      <c r="D74" s="73">
        <v>1</v>
      </c>
      <c r="E74" s="73"/>
      <c r="F74" s="74" t="s">
        <v>455</v>
      </c>
      <c r="G74" s="70">
        <f>SUM(G75)</f>
        <v>0</v>
      </c>
      <c r="H74" s="70">
        <f t="shared" ref="H74:I74" si="21">SUM(H75)</f>
        <v>0</v>
      </c>
      <c r="I74" s="70">
        <f t="shared" si="21"/>
        <v>0</v>
      </c>
      <c r="J74" s="70">
        <f t="shared" si="11"/>
        <v>0</v>
      </c>
      <c r="K74" s="69"/>
    </row>
    <row r="75" spans="1:11" x14ac:dyDescent="0.2">
      <c r="A75" s="68">
        <v>2</v>
      </c>
      <c r="B75" s="67">
        <v>1</v>
      </c>
      <c r="C75" s="67">
        <v>4</v>
      </c>
      <c r="D75" s="67">
        <v>1</v>
      </c>
      <c r="E75" s="82" t="s">
        <v>178</v>
      </c>
      <c r="F75" s="68" t="s">
        <v>455</v>
      </c>
      <c r="G75" s="64"/>
      <c r="H75" s="64"/>
      <c r="I75" s="64"/>
      <c r="J75" s="64">
        <f t="shared" si="11"/>
        <v>0</v>
      </c>
      <c r="K75" s="63">
        <f>J75/$J$25</f>
        <v>0</v>
      </c>
    </row>
    <row r="76" spans="1:11" x14ac:dyDescent="0.2">
      <c r="A76" s="74">
        <v>2</v>
      </c>
      <c r="B76" s="73">
        <v>1</v>
      </c>
      <c r="C76" s="73">
        <v>4</v>
      </c>
      <c r="D76" s="73">
        <v>2</v>
      </c>
      <c r="E76" s="73"/>
      <c r="F76" s="74" t="s">
        <v>454</v>
      </c>
      <c r="G76" s="70">
        <f>SUM(G77:G79)</f>
        <v>0</v>
      </c>
      <c r="H76" s="70">
        <f t="shared" ref="H76:I76" si="22">SUM(H77:H79)</f>
        <v>0</v>
      </c>
      <c r="I76" s="70">
        <f t="shared" si="22"/>
        <v>0</v>
      </c>
      <c r="J76" s="70">
        <f>SUM(G76:I76)</f>
        <v>0</v>
      </c>
      <c r="K76" s="69"/>
    </row>
    <row r="77" spans="1:11" x14ac:dyDescent="0.2">
      <c r="A77" s="68">
        <v>2</v>
      </c>
      <c r="B77" s="67">
        <v>1</v>
      </c>
      <c r="C77" s="67">
        <v>4</v>
      </c>
      <c r="D77" s="67">
        <v>2</v>
      </c>
      <c r="E77" s="82" t="s">
        <v>178</v>
      </c>
      <c r="F77" s="68" t="s">
        <v>453</v>
      </c>
      <c r="G77" s="65"/>
      <c r="H77" s="65"/>
      <c r="I77" s="65"/>
      <c r="J77" s="64">
        <f t="shared" si="11"/>
        <v>0</v>
      </c>
      <c r="K77" s="63">
        <f>J77/$J$25</f>
        <v>0</v>
      </c>
    </row>
    <row r="78" spans="1:11" x14ac:dyDescent="0.2">
      <c r="A78" s="68">
        <v>2</v>
      </c>
      <c r="B78" s="67">
        <v>1</v>
      </c>
      <c r="C78" s="67">
        <v>4</v>
      </c>
      <c r="D78" s="67">
        <v>2</v>
      </c>
      <c r="E78" s="82" t="s">
        <v>182</v>
      </c>
      <c r="F78" s="68" t="s">
        <v>452</v>
      </c>
      <c r="G78" s="65"/>
      <c r="H78" s="65"/>
      <c r="I78" s="65"/>
      <c r="J78" s="64">
        <f t="shared" si="11"/>
        <v>0</v>
      </c>
      <c r="K78" s="63">
        <f>J78/$J$25</f>
        <v>0</v>
      </c>
    </row>
    <row r="79" spans="1:11" x14ac:dyDescent="0.2">
      <c r="A79" s="68">
        <v>2</v>
      </c>
      <c r="B79" s="67">
        <v>1</v>
      </c>
      <c r="C79" s="67">
        <v>4</v>
      </c>
      <c r="D79" s="67">
        <v>2</v>
      </c>
      <c r="E79" s="82" t="s">
        <v>180</v>
      </c>
      <c r="F79" s="68" t="s">
        <v>451</v>
      </c>
      <c r="G79" s="65"/>
      <c r="H79" s="65"/>
      <c r="I79" s="65"/>
      <c r="J79" s="64">
        <f t="shared" si="11"/>
        <v>0</v>
      </c>
      <c r="K79" s="63">
        <f>J79/$J$25</f>
        <v>0</v>
      </c>
    </row>
    <row r="80" spans="1:11" x14ac:dyDescent="0.2">
      <c r="A80" s="81">
        <v>2</v>
      </c>
      <c r="B80" s="80">
        <v>1</v>
      </c>
      <c r="C80" s="80">
        <v>5</v>
      </c>
      <c r="D80" s="80"/>
      <c r="E80" s="80"/>
      <c r="F80" s="81" t="s">
        <v>450</v>
      </c>
      <c r="G80" s="78">
        <f>+G81+G83+G85+G87</f>
        <v>2568203.2599999998</v>
      </c>
      <c r="H80" s="78">
        <f t="shared" ref="H80:I80" si="23">+H81+H83+H85+H87</f>
        <v>1185641.97</v>
      </c>
      <c r="I80" s="78">
        <f t="shared" si="23"/>
        <v>0</v>
      </c>
      <c r="J80" s="78">
        <f>SUM(G80:I80)</f>
        <v>3753845.2299999995</v>
      </c>
      <c r="K80" s="77"/>
    </row>
    <row r="81" spans="1:11" x14ac:dyDescent="0.2">
      <c r="A81" s="74">
        <v>2</v>
      </c>
      <c r="B81" s="73">
        <v>1</v>
      </c>
      <c r="C81" s="73">
        <v>5</v>
      </c>
      <c r="D81" s="73">
        <v>1</v>
      </c>
      <c r="E81" s="73"/>
      <c r="F81" s="74" t="s">
        <v>449</v>
      </c>
      <c r="G81" s="194">
        <f>+G82</f>
        <v>1187609.95</v>
      </c>
      <c r="H81" s="194">
        <f>+H82</f>
        <v>548988.38</v>
      </c>
      <c r="I81" s="70">
        <f>SUM(I82)</f>
        <v>0</v>
      </c>
      <c r="J81" s="70">
        <f>SUM(G81:I81)</f>
        <v>1736598.33</v>
      </c>
      <c r="K81" s="69"/>
    </row>
    <row r="82" spans="1:11" x14ac:dyDescent="0.2">
      <c r="A82" s="68">
        <v>2</v>
      </c>
      <c r="B82" s="67">
        <v>1</v>
      </c>
      <c r="C82" s="67">
        <v>5</v>
      </c>
      <c r="D82" s="67">
        <v>1</v>
      </c>
      <c r="E82" s="82" t="s">
        <v>178</v>
      </c>
      <c r="F82" s="68" t="s">
        <v>449</v>
      </c>
      <c r="G82" s="64">
        <v>1187609.95</v>
      </c>
      <c r="H82" s="64">
        <v>548988.38</v>
      </c>
      <c r="I82" s="65"/>
      <c r="J82" s="64">
        <f>SUM(H82:I82)</f>
        <v>548988.38</v>
      </c>
      <c r="K82" s="63">
        <f>J82/$J$25</f>
        <v>5.3054930609578235E-3</v>
      </c>
    </row>
    <row r="83" spans="1:11" x14ac:dyDescent="0.2">
      <c r="A83" s="74">
        <v>2</v>
      </c>
      <c r="B83" s="73">
        <v>1</v>
      </c>
      <c r="C83" s="73">
        <v>5</v>
      </c>
      <c r="D83" s="73">
        <v>2</v>
      </c>
      <c r="E83" s="73"/>
      <c r="F83" s="74" t="s">
        <v>448</v>
      </c>
      <c r="G83" s="194">
        <f>+G84</f>
        <v>1189284.99</v>
      </c>
      <c r="H83" s="194">
        <f>+H84</f>
        <v>549762.77</v>
      </c>
      <c r="I83" s="70">
        <f t="shared" ref="I83" si="24">SUM(I84)</f>
        <v>0</v>
      </c>
      <c r="J83" s="70">
        <f>SUM(G83:I83)</f>
        <v>1739047.76</v>
      </c>
      <c r="K83" s="69"/>
    </row>
    <row r="84" spans="1:11" x14ac:dyDescent="0.2">
      <c r="A84" s="68">
        <v>2</v>
      </c>
      <c r="B84" s="67">
        <v>1</v>
      </c>
      <c r="C84" s="67">
        <v>5</v>
      </c>
      <c r="D84" s="67">
        <v>2</v>
      </c>
      <c r="E84" s="82" t="s">
        <v>178</v>
      </c>
      <c r="F84" s="68" t="s">
        <v>448</v>
      </c>
      <c r="G84" s="64">
        <v>1189284.99</v>
      </c>
      <c r="H84" s="64">
        <v>549762.77</v>
      </c>
      <c r="I84" s="65"/>
      <c r="J84" s="64">
        <f>SUM(H84:I84)</f>
        <v>549762.77</v>
      </c>
      <c r="K84" s="63">
        <f>J84/$J$25</f>
        <v>5.3129768637506531E-3</v>
      </c>
    </row>
    <row r="85" spans="1:11" x14ac:dyDescent="0.2">
      <c r="A85" s="74">
        <v>2</v>
      </c>
      <c r="B85" s="73">
        <v>1</v>
      </c>
      <c r="C85" s="73">
        <v>5</v>
      </c>
      <c r="D85" s="73">
        <v>3</v>
      </c>
      <c r="E85" s="73"/>
      <c r="F85" s="74" t="s">
        <v>447</v>
      </c>
      <c r="G85" s="194">
        <f>+G86</f>
        <v>191308.32</v>
      </c>
      <c r="H85" s="194">
        <f>+H86</f>
        <v>86890.82</v>
      </c>
      <c r="I85" s="70">
        <f t="shared" ref="I85" si="25">SUM(I86)</f>
        <v>0</v>
      </c>
      <c r="J85" s="70">
        <f>SUM(G85:I85)</f>
        <v>278199.14</v>
      </c>
      <c r="K85" s="69"/>
    </row>
    <row r="86" spans="1:11" x14ac:dyDescent="0.2">
      <c r="A86" s="68">
        <v>2</v>
      </c>
      <c r="B86" s="67">
        <v>1</v>
      </c>
      <c r="C86" s="67">
        <v>5</v>
      </c>
      <c r="D86" s="67">
        <v>3</v>
      </c>
      <c r="E86" s="82" t="s">
        <v>178</v>
      </c>
      <c r="F86" s="68" t="s">
        <v>447</v>
      </c>
      <c r="G86" s="64">
        <v>191308.32</v>
      </c>
      <c r="H86" s="64">
        <v>86890.82</v>
      </c>
      <c r="I86" s="65"/>
      <c r="J86" s="64">
        <f>SUM(H86:I86)</f>
        <v>86890.82</v>
      </c>
      <c r="K86" s="63">
        <f>J86/$J$25</f>
        <v>8.3972386186194922E-4</v>
      </c>
    </row>
    <row r="87" spans="1:11" x14ac:dyDescent="0.2">
      <c r="A87" s="74">
        <v>2</v>
      </c>
      <c r="B87" s="73">
        <v>1</v>
      </c>
      <c r="C87" s="73">
        <v>5</v>
      </c>
      <c r="D87" s="73">
        <v>4</v>
      </c>
      <c r="E87" s="73"/>
      <c r="F87" s="74" t="s">
        <v>446</v>
      </c>
      <c r="G87" s="70">
        <f>SUM(G88)</f>
        <v>0</v>
      </c>
      <c r="H87" s="70">
        <f t="shared" ref="H87:I87" si="26">SUM(H88)</f>
        <v>0</v>
      </c>
      <c r="I87" s="70">
        <f t="shared" si="26"/>
        <v>0</v>
      </c>
      <c r="J87" s="70">
        <f>SUM(G87:I87)</f>
        <v>0</v>
      </c>
      <c r="K87" s="69"/>
    </row>
    <row r="88" spans="1:11" x14ac:dyDescent="0.2">
      <c r="A88" s="68">
        <v>2</v>
      </c>
      <c r="B88" s="67">
        <v>1</v>
      </c>
      <c r="C88" s="67">
        <v>5</v>
      </c>
      <c r="D88" s="67">
        <v>4</v>
      </c>
      <c r="E88" s="82" t="s">
        <v>178</v>
      </c>
      <c r="F88" s="68" t="s">
        <v>446</v>
      </c>
      <c r="G88" s="65"/>
      <c r="H88" s="65"/>
      <c r="I88" s="65"/>
      <c r="J88" s="64">
        <f t="shared" si="11"/>
        <v>0</v>
      </c>
      <c r="K88" s="63">
        <f>J88/$J$25</f>
        <v>0</v>
      </c>
    </row>
    <row r="89" spans="1:11" x14ac:dyDescent="0.2">
      <c r="A89" s="81">
        <v>2</v>
      </c>
      <c r="B89" s="91">
        <v>2</v>
      </c>
      <c r="C89" s="80"/>
      <c r="D89" s="80"/>
      <c r="E89" s="80"/>
      <c r="F89" s="81" t="s">
        <v>445</v>
      </c>
      <c r="G89" s="78">
        <f>G90+G108+G113+G118+G127+G148+G157+G179+G208</f>
        <v>0</v>
      </c>
      <c r="H89" s="78">
        <f>H90+H108+H113+H118+H127+H148+H157+H179+H208</f>
        <v>4730774.33</v>
      </c>
      <c r="I89" s="78">
        <f>I90+I108+I113+I118+I127+I148+I157+I179+I208</f>
        <v>0</v>
      </c>
      <c r="J89" s="78">
        <f>SUM(G89:I89)</f>
        <v>4730774.33</v>
      </c>
      <c r="K89" s="77">
        <f>J89/$J$25</f>
        <v>4.5718800789139466E-2</v>
      </c>
    </row>
    <row r="90" spans="1:11" x14ac:dyDescent="0.2">
      <c r="A90" s="81">
        <v>2</v>
      </c>
      <c r="B90" s="80">
        <v>2</v>
      </c>
      <c r="C90" s="80">
        <v>1</v>
      </c>
      <c r="D90" s="80"/>
      <c r="E90" s="80"/>
      <c r="F90" s="81" t="s">
        <v>444</v>
      </c>
      <c r="G90" s="78">
        <f>+G91+G93+G95+G97+G99+G101+G104+G106</f>
        <v>0</v>
      </c>
      <c r="H90" s="78">
        <f>+H91+H93+H95+H97+H99+H101+H104+H106</f>
        <v>13200</v>
      </c>
      <c r="I90" s="78">
        <f t="shared" ref="I90" si="27">+I91+I93+I95+I97+I99+I101+I104+I106</f>
        <v>0</v>
      </c>
      <c r="J90" s="78">
        <f>SUM(G90:I90)</f>
        <v>13200</v>
      </c>
      <c r="K90" s="77"/>
    </row>
    <row r="91" spans="1:11" x14ac:dyDescent="0.2">
      <c r="A91" s="76">
        <v>2</v>
      </c>
      <c r="B91" s="73">
        <v>2</v>
      </c>
      <c r="C91" s="73">
        <v>1</v>
      </c>
      <c r="D91" s="73">
        <v>1</v>
      </c>
      <c r="E91" s="73"/>
      <c r="F91" s="76" t="s">
        <v>443</v>
      </c>
      <c r="G91" s="70">
        <f>SUM(G92)</f>
        <v>0</v>
      </c>
      <c r="H91" s="70">
        <f t="shared" ref="H91:I91" si="28">SUM(H92)</f>
        <v>0</v>
      </c>
      <c r="I91" s="70">
        <f t="shared" si="28"/>
        <v>0</v>
      </c>
      <c r="J91" s="70">
        <f t="shared" si="11"/>
        <v>0</v>
      </c>
      <c r="K91" s="69"/>
    </row>
    <row r="92" spans="1:11" x14ac:dyDescent="0.2">
      <c r="A92" s="75">
        <v>2</v>
      </c>
      <c r="B92" s="67">
        <v>2</v>
      </c>
      <c r="C92" s="67">
        <v>1</v>
      </c>
      <c r="D92" s="67">
        <v>1</v>
      </c>
      <c r="E92" s="82" t="s">
        <v>178</v>
      </c>
      <c r="F92" s="75" t="s">
        <v>443</v>
      </c>
      <c r="G92" s="64"/>
      <c r="H92" s="64"/>
      <c r="I92" s="64"/>
      <c r="J92" s="64">
        <f t="shared" si="11"/>
        <v>0</v>
      </c>
      <c r="K92" s="63">
        <f>J92/$J$25</f>
        <v>0</v>
      </c>
    </row>
    <row r="93" spans="1:11" x14ac:dyDescent="0.2">
      <c r="A93" s="76">
        <v>2</v>
      </c>
      <c r="B93" s="73">
        <v>2</v>
      </c>
      <c r="C93" s="73">
        <v>1</v>
      </c>
      <c r="D93" s="73">
        <v>2</v>
      </c>
      <c r="E93" s="73"/>
      <c r="F93" s="76" t="s">
        <v>442</v>
      </c>
      <c r="G93" s="70">
        <f>SUM(G94)</f>
        <v>0</v>
      </c>
      <c r="H93" s="70">
        <f t="shared" ref="H93:I93" si="29">SUM(H94)</f>
        <v>0</v>
      </c>
      <c r="I93" s="70">
        <f t="shared" si="29"/>
        <v>0</v>
      </c>
      <c r="J93" s="70">
        <f t="shared" si="11"/>
        <v>0</v>
      </c>
      <c r="K93" s="69"/>
    </row>
    <row r="94" spans="1:11" x14ac:dyDescent="0.2">
      <c r="A94" s="75">
        <v>2</v>
      </c>
      <c r="B94" s="67">
        <v>2</v>
      </c>
      <c r="C94" s="67">
        <v>1</v>
      </c>
      <c r="D94" s="67">
        <v>2</v>
      </c>
      <c r="E94" s="82" t="s">
        <v>178</v>
      </c>
      <c r="F94" s="75" t="s">
        <v>442</v>
      </c>
      <c r="G94" s="64"/>
      <c r="H94" s="64"/>
      <c r="I94" s="64"/>
      <c r="J94" s="64">
        <f t="shared" si="11"/>
        <v>0</v>
      </c>
      <c r="K94" s="63">
        <f>J94/$J$25</f>
        <v>0</v>
      </c>
    </row>
    <row r="95" spans="1:11" x14ac:dyDescent="0.2">
      <c r="A95" s="76">
        <v>2</v>
      </c>
      <c r="B95" s="73">
        <v>2</v>
      </c>
      <c r="C95" s="73">
        <v>1</v>
      </c>
      <c r="D95" s="73">
        <v>3</v>
      </c>
      <c r="E95" s="73"/>
      <c r="F95" s="76" t="s">
        <v>441</v>
      </c>
      <c r="G95" s="70">
        <f>SUM(G96)</f>
        <v>0</v>
      </c>
      <c r="H95" s="70">
        <f t="shared" ref="H95:I95" si="30">SUM(H96)</f>
        <v>0</v>
      </c>
      <c r="I95" s="70">
        <f t="shared" si="30"/>
        <v>0</v>
      </c>
      <c r="J95" s="70">
        <f t="shared" si="11"/>
        <v>0</v>
      </c>
      <c r="K95" s="69"/>
    </row>
    <row r="96" spans="1:11" x14ac:dyDescent="0.2">
      <c r="A96" s="75">
        <v>2</v>
      </c>
      <c r="B96" s="67">
        <v>2</v>
      </c>
      <c r="C96" s="67">
        <v>1</v>
      </c>
      <c r="D96" s="67">
        <v>3</v>
      </c>
      <c r="E96" s="82" t="s">
        <v>178</v>
      </c>
      <c r="F96" s="75" t="s">
        <v>441</v>
      </c>
      <c r="G96" s="64"/>
      <c r="H96" s="64"/>
      <c r="I96" s="64"/>
      <c r="J96" s="64">
        <f t="shared" si="11"/>
        <v>0</v>
      </c>
      <c r="K96" s="63">
        <f>J96/$J$25</f>
        <v>0</v>
      </c>
    </row>
    <row r="97" spans="1:11" x14ac:dyDescent="0.2">
      <c r="A97" s="76">
        <v>2</v>
      </c>
      <c r="B97" s="73">
        <v>2</v>
      </c>
      <c r="C97" s="73">
        <v>1</v>
      </c>
      <c r="D97" s="73">
        <v>4</v>
      </c>
      <c r="E97" s="73"/>
      <c r="F97" s="76" t="s">
        <v>440</v>
      </c>
      <c r="G97" s="70">
        <f>SUM(G98)</f>
        <v>0</v>
      </c>
      <c r="H97" s="70">
        <f t="shared" ref="H97:I97" si="31">SUM(H98)</f>
        <v>0</v>
      </c>
      <c r="I97" s="70">
        <f t="shared" si="31"/>
        <v>0</v>
      </c>
      <c r="J97" s="70">
        <f t="shared" si="11"/>
        <v>0</v>
      </c>
      <c r="K97" s="69"/>
    </row>
    <row r="98" spans="1:11" x14ac:dyDescent="0.2">
      <c r="A98" s="75">
        <v>2</v>
      </c>
      <c r="B98" s="67">
        <v>2</v>
      </c>
      <c r="C98" s="67">
        <v>1</v>
      </c>
      <c r="D98" s="67">
        <v>4</v>
      </c>
      <c r="E98" s="82" t="s">
        <v>178</v>
      </c>
      <c r="F98" s="75" t="s">
        <v>440</v>
      </c>
      <c r="G98" s="64"/>
      <c r="H98" s="64"/>
      <c r="I98" s="64"/>
      <c r="J98" s="64">
        <f t="shared" si="11"/>
        <v>0</v>
      </c>
      <c r="K98" s="63">
        <f>J98/$J$25</f>
        <v>0</v>
      </c>
    </row>
    <row r="99" spans="1:11" x14ac:dyDescent="0.2">
      <c r="A99" s="76">
        <v>2</v>
      </c>
      <c r="B99" s="73">
        <v>2</v>
      </c>
      <c r="C99" s="73">
        <v>1</v>
      </c>
      <c r="D99" s="73">
        <v>5</v>
      </c>
      <c r="E99" s="73"/>
      <c r="F99" s="76" t="s">
        <v>439</v>
      </c>
      <c r="G99" s="70">
        <f>SUM(G100)</f>
        <v>0</v>
      </c>
      <c r="H99" s="70">
        <f t="shared" ref="H99:I99" si="32">SUM(H100)</f>
        <v>0</v>
      </c>
      <c r="I99" s="70">
        <f t="shared" si="32"/>
        <v>0</v>
      </c>
      <c r="J99" s="70">
        <f t="shared" si="11"/>
        <v>0</v>
      </c>
      <c r="K99" s="69"/>
    </row>
    <row r="100" spans="1:11" x14ac:dyDescent="0.2">
      <c r="A100" s="75">
        <v>2</v>
      </c>
      <c r="B100" s="67">
        <v>2</v>
      </c>
      <c r="C100" s="67">
        <v>1</v>
      </c>
      <c r="D100" s="67">
        <v>5</v>
      </c>
      <c r="E100" s="82" t="s">
        <v>178</v>
      </c>
      <c r="F100" s="75" t="s">
        <v>439</v>
      </c>
      <c r="G100" s="64"/>
      <c r="H100" s="64"/>
      <c r="I100" s="64"/>
      <c r="J100" s="64">
        <f t="shared" si="11"/>
        <v>0</v>
      </c>
      <c r="K100" s="63">
        <f>J100/$J$25</f>
        <v>0</v>
      </c>
    </row>
    <row r="101" spans="1:11" x14ac:dyDescent="0.2">
      <c r="A101" s="76">
        <v>2</v>
      </c>
      <c r="B101" s="73">
        <v>2</v>
      </c>
      <c r="C101" s="73">
        <v>1</v>
      </c>
      <c r="D101" s="73">
        <v>6</v>
      </c>
      <c r="E101" s="73"/>
      <c r="F101" s="76" t="s">
        <v>438</v>
      </c>
      <c r="G101" s="70">
        <f>SUM(G102:G103)</f>
        <v>0</v>
      </c>
      <c r="H101" s="70">
        <f t="shared" ref="H101:I101" si="33">SUM(H102:H103)</f>
        <v>0</v>
      </c>
      <c r="I101" s="70">
        <f t="shared" si="33"/>
        <v>0</v>
      </c>
      <c r="J101" s="70">
        <f t="shared" si="11"/>
        <v>0</v>
      </c>
      <c r="K101" s="69"/>
    </row>
    <row r="102" spans="1:11" x14ac:dyDescent="0.2">
      <c r="A102" s="75">
        <v>2</v>
      </c>
      <c r="B102" s="67">
        <v>2</v>
      </c>
      <c r="C102" s="67">
        <v>1</v>
      </c>
      <c r="D102" s="67">
        <v>6</v>
      </c>
      <c r="E102" s="82" t="s">
        <v>178</v>
      </c>
      <c r="F102" s="75" t="s">
        <v>437</v>
      </c>
      <c r="G102" s="65"/>
      <c r="H102" s="65"/>
      <c r="I102" s="65"/>
      <c r="J102" s="64">
        <f t="shared" si="11"/>
        <v>0</v>
      </c>
      <c r="K102" s="63">
        <f>J102/$J$25</f>
        <v>0</v>
      </c>
    </row>
    <row r="103" spans="1:11" x14ac:dyDescent="0.2">
      <c r="A103" s="75">
        <v>2</v>
      </c>
      <c r="B103" s="67">
        <v>2</v>
      </c>
      <c r="C103" s="67">
        <v>1</v>
      </c>
      <c r="D103" s="67">
        <v>6</v>
      </c>
      <c r="E103" s="82" t="s">
        <v>182</v>
      </c>
      <c r="F103" s="75" t="s">
        <v>436</v>
      </c>
      <c r="G103" s="65"/>
      <c r="H103" s="65"/>
      <c r="I103" s="65"/>
      <c r="J103" s="64">
        <f t="shared" si="11"/>
        <v>0</v>
      </c>
      <c r="K103" s="63">
        <f>J103/$J$25</f>
        <v>0</v>
      </c>
    </row>
    <row r="104" spans="1:11" x14ac:dyDescent="0.2">
      <c r="A104" s="76">
        <v>2</v>
      </c>
      <c r="B104" s="73">
        <v>2</v>
      </c>
      <c r="C104" s="73">
        <v>1</v>
      </c>
      <c r="D104" s="73">
        <v>7</v>
      </c>
      <c r="E104" s="73"/>
      <c r="F104" s="76" t="s">
        <v>435</v>
      </c>
      <c r="G104" s="70">
        <f>SUM(G105)</f>
        <v>0</v>
      </c>
      <c r="H104" s="70">
        <f t="shared" ref="H104:I104" si="34">SUM(H105)</f>
        <v>0</v>
      </c>
      <c r="I104" s="70">
        <f t="shared" si="34"/>
        <v>0</v>
      </c>
      <c r="J104" s="70">
        <f t="shared" si="11"/>
        <v>0</v>
      </c>
      <c r="K104" s="69"/>
    </row>
    <row r="105" spans="1:11" x14ac:dyDescent="0.2">
      <c r="A105" s="75">
        <v>2</v>
      </c>
      <c r="B105" s="67">
        <v>2</v>
      </c>
      <c r="C105" s="67">
        <v>1</v>
      </c>
      <c r="D105" s="67">
        <v>7</v>
      </c>
      <c r="E105" s="82" t="s">
        <v>178</v>
      </c>
      <c r="F105" s="75" t="s">
        <v>435</v>
      </c>
      <c r="G105" s="64"/>
      <c r="H105" s="64"/>
      <c r="I105" s="64"/>
      <c r="J105" s="64">
        <f t="shared" si="11"/>
        <v>0</v>
      </c>
      <c r="K105" s="63">
        <f>J105/$J$25</f>
        <v>0</v>
      </c>
    </row>
    <row r="106" spans="1:11" x14ac:dyDescent="0.2">
      <c r="A106" s="76">
        <v>2</v>
      </c>
      <c r="B106" s="73">
        <v>2</v>
      </c>
      <c r="C106" s="73">
        <v>1</v>
      </c>
      <c r="D106" s="73">
        <v>8</v>
      </c>
      <c r="E106" s="73"/>
      <c r="F106" s="76" t="s">
        <v>434</v>
      </c>
      <c r="G106" s="70">
        <f>SUM(G107)</f>
        <v>0</v>
      </c>
      <c r="H106" s="70">
        <f t="shared" ref="H106:I106" si="35">SUM(H107)</f>
        <v>13200</v>
      </c>
      <c r="I106" s="70">
        <f t="shared" si="35"/>
        <v>0</v>
      </c>
      <c r="J106" s="70">
        <f t="shared" si="11"/>
        <v>13200</v>
      </c>
      <c r="K106" s="69"/>
    </row>
    <row r="107" spans="1:11" x14ac:dyDescent="0.2">
      <c r="A107" s="75">
        <v>2</v>
      </c>
      <c r="B107" s="67">
        <v>2</v>
      </c>
      <c r="C107" s="67">
        <v>1</v>
      </c>
      <c r="D107" s="67">
        <v>8</v>
      </c>
      <c r="E107" s="82" t="s">
        <v>178</v>
      </c>
      <c r="F107" s="75" t="s">
        <v>434</v>
      </c>
      <c r="G107" s="64"/>
      <c r="H107" s="64">
        <v>13200</v>
      </c>
      <c r="I107" s="64"/>
      <c r="J107" s="64">
        <f t="shared" si="11"/>
        <v>13200</v>
      </c>
      <c r="K107" s="63">
        <f>J107/$J$25</f>
        <v>1.2756646762658851E-4</v>
      </c>
    </row>
    <row r="108" spans="1:11" x14ac:dyDescent="0.2">
      <c r="A108" s="81">
        <v>2</v>
      </c>
      <c r="B108" s="80">
        <v>2</v>
      </c>
      <c r="C108" s="80">
        <v>2</v>
      </c>
      <c r="D108" s="80"/>
      <c r="E108" s="80"/>
      <c r="F108" s="81" t="s">
        <v>433</v>
      </c>
      <c r="G108" s="78">
        <f>+G109+G111</f>
        <v>0</v>
      </c>
      <c r="H108" s="78">
        <f t="shared" ref="H108:I108" si="36">+H109+H111</f>
        <v>150096</v>
      </c>
      <c r="I108" s="78">
        <f t="shared" si="36"/>
        <v>0</v>
      </c>
      <c r="J108" s="78">
        <f t="shared" si="11"/>
        <v>150096</v>
      </c>
      <c r="K108" s="77"/>
    </row>
    <row r="109" spans="1:11" x14ac:dyDescent="0.2">
      <c r="A109" s="76">
        <v>2</v>
      </c>
      <c r="B109" s="73">
        <v>2</v>
      </c>
      <c r="C109" s="73">
        <v>2</v>
      </c>
      <c r="D109" s="73">
        <v>1</v>
      </c>
      <c r="E109" s="73"/>
      <c r="F109" s="76" t="s">
        <v>432</v>
      </c>
      <c r="G109" s="70">
        <f>SUM(G110)</f>
        <v>0</v>
      </c>
      <c r="H109" s="70">
        <f t="shared" ref="H109:I109" si="37">SUM(H110)</f>
        <v>0</v>
      </c>
      <c r="I109" s="70">
        <f t="shared" si="37"/>
        <v>0</v>
      </c>
      <c r="J109" s="70">
        <f t="shared" si="11"/>
        <v>0</v>
      </c>
      <c r="K109" s="69"/>
    </row>
    <row r="110" spans="1:11" x14ac:dyDescent="0.2">
      <c r="A110" s="75">
        <v>2</v>
      </c>
      <c r="B110" s="67">
        <v>2</v>
      </c>
      <c r="C110" s="67">
        <v>2</v>
      </c>
      <c r="D110" s="67">
        <v>1</v>
      </c>
      <c r="E110" s="82" t="s">
        <v>178</v>
      </c>
      <c r="F110" s="75" t="s">
        <v>432</v>
      </c>
      <c r="G110" s="64"/>
      <c r="H110" s="64"/>
      <c r="I110" s="64"/>
      <c r="J110" s="64">
        <f t="shared" si="11"/>
        <v>0</v>
      </c>
      <c r="K110" s="63">
        <f>J110/$J$25</f>
        <v>0</v>
      </c>
    </row>
    <row r="111" spans="1:11" x14ac:dyDescent="0.2">
      <c r="A111" s="76">
        <v>2</v>
      </c>
      <c r="B111" s="73">
        <v>2</v>
      </c>
      <c r="C111" s="73">
        <v>2</v>
      </c>
      <c r="D111" s="73">
        <v>2</v>
      </c>
      <c r="E111" s="73"/>
      <c r="F111" s="76" t="s">
        <v>431</v>
      </c>
      <c r="G111" s="70">
        <f>SUM(G112)</f>
        <v>0</v>
      </c>
      <c r="H111" s="70">
        <f t="shared" ref="H111:I111" si="38">SUM(H112)</f>
        <v>150096</v>
      </c>
      <c r="I111" s="70">
        <f t="shared" si="38"/>
        <v>0</v>
      </c>
      <c r="J111" s="70">
        <f t="shared" si="11"/>
        <v>150096</v>
      </c>
      <c r="K111" s="69"/>
    </row>
    <row r="112" spans="1:11" x14ac:dyDescent="0.2">
      <c r="A112" s="75">
        <v>2</v>
      </c>
      <c r="B112" s="67">
        <v>2</v>
      </c>
      <c r="C112" s="67">
        <v>2</v>
      </c>
      <c r="D112" s="67">
        <v>2</v>
      </c>
      <c r="E112" s="82" t="s">
        <v>178</v>
      </c>
      <c r="F112" s="75" t="s">
        <v>431</v>
      </c>
      <c r="G112" s="64"/>
      <c r="H112" s="64">
        <v>150096</v>
      </c>
      <c r="I112" s="64"/>
      <c r="J112" s="64">
        <f t="shared" si="11"/>
        <v>150096</v>
      </c>
      <c r="K112" s="63">
        <f>J112/$J$25</f>
        <v>1.4505467064303355E-3</v>
      </c>
    </row>
    <row r="113" spans="1:11" x14ac:dyDescent="0.2">
      <c r="A113" s="81">
        <v>2</v>
      </c>
      <c r="B113" s="80">
        <v>2</v>
      </c>
      <c r="C113" s="80">
        <v>3</v>
      </c>
      <c r="D113" s="80"/>
      <c r="E113" s="80"/>
      <c r="F113" s="81" t="s">
        <v>430</v>
      </c>
      <c r="G113" s="78">
        <f>+G114+G116</f>
        <v>0</v>
      </c>
      <c r="H113" s="78">
        <f t="shared" ref="H113:I113" si="39">+H114+H116</f>
        <v>0</v>
      </c>
      <c r="I113" s="78">
        <f t="shared" si="39"/>
        <v>0</v>
      </c>
      <c r="J113" s="78">
        <f>SUM(G113:I113)</f>
        <v>0</v>
      </c>
      <c r="K113" s="77"/>
    </row>
    <row r="114" spans="1:11" x14ac:dyDescent="0.2">
      <c r="A114" s="76">
        <v>2</v>
      </c>
      <c r="B114" s="73">
        <v>2</v>
      </c>
      <c r="C114" s="73">
        <v>3</v>
      </c>
      <c r="D114" s="73">
        <v>1</v>
      </c>
      <c r="E114" s="73"/>
      <c r="F114" s="76" t="s">
        <v>429</v>
      </c>
      <c r="G114" s="70">
        <f>SUM(G115)</f>
        <v>0</v>
      </c>
      <c r="H114" s="70">
        <f t="shared" ref="H114:I114" si="40">SUM(H115)</f>
        <v>0</v>
      </c>
      <c r="I114" s="70">
        <f t="shared" si="40"/>
        <v>0</v>
      </c>
      <c r="J114" s="70">
        <f t="shared" ref="J114:J118" si="41">SUM(G114:I114)</f>
        <v>0</v>
      </c>
      <c r="K114" s="69"/>
    </row>
    <row r="115" spans="1:11" x14ac:dyDescent="0.2">
      <c r="A115" s="75">
        <v>2</v>
      </c>
      <c r="B115" s="67">
        <v>2</v>
      </c>
      <c r="C115" s="67">
        <v>3</v>
      </c>
      <c r="D115" s="67">
        <v>1</v>
      </c>
      <c r="E115" s="82" t="s">
        <v>178</v>
      </c>
      <c r="F115" s="75" t="s">
        <v>429</v>
      </c>
      <c r="G115" s="64"/>
      <c r="H115" s="64"/>
      <c r="I115" s="64"/>
      <c r="J115" s="64">
        <f t="shared" si="41"/>
        <v>0</v>
      </c>
      <c r="K115" s="63">
        <f>J115/$J$25</f>
        <v>0</v>
      </c>
    </row>
    <row r="116" spans="1:11" x14ac:dyDescent="0.2">
      <c r="A116" s="76">
        <v>2</v>
      </c>
      <c r="B116" s="73">
        <v>2</v>
      </c>
      <c r="C116" s="73">
        <v>3</v>
      </c>
      <c r="D116" s="73">
        <v>2</v>
      </c>
      <c r="E116" s="73"/>
      <c r="F116" s="76" t="s">
        <v>428</v>
      </c>
      <c r="G116" s="70">
        <f>SUM(G117)</f>
        <v>0</v>
      </c>
      <c r="H116" s="70">
        <f t="shared" ref="H116:I116" si="42">SUM(H117)</f>
        <v>0</v>
      </c>
      <c r="I116" s="70">
        <f t="shared" si="42"/>
        <v>0</v>
      </c>
      <c r="J116" s="70">
        <f t="shared" si="41"/>
        <v>0</v>
      </c>
      <c r="K116" s="69"/>
    </row>
    <row r="117" spans="1:11" x14ac:dyDescent="0.2">
      <c r="A117" s="75">
        <v>2</v>
      </c>
      <c r="B117" s="67">
        <v>2</v>
      </c>
      <c r="C117" s="67">
        <v>3</v>
      </c>
      <c r="D117" s="67">
        <v>2</v>
      </c>
      <c r="E117" s="82" t="s">
        <v>178</v>
      </c>
      <c r="F117" s="75" t="s">
        <v>428</v>
      </c>
      <c r="G117" s="64"/>
      <c r="H117" s="64"/>
      <c r="I117" s="64"/>
      <c r="J117" s="64">
        <f t="shared" si="41"/>
        <v>0</v>
      </c>
      <c r="K117" s="63">
        <f>J117/$J$25</f>
        <v>0</v>
      </c>
    </row>
    <row r="118" spans="1:11" x14ac:dyDescent="0.2">
      <c r="A118" s="81">
        <v>2</v>
      </c>
      <c r="B118" s="80">
        <v>2</v>
      </c>
      <c r="C118" s="80">
        <v>4</v>
      </c>
      <c r="D118" s="80"/>
      <c r="E118" s="80"/>
      <c r="F118" s="81" t="s">
        <v>427</v>
      </c>
      <c r="G118" s="78">
        <f>+G119+G121+G123+G125</f>
        <v>0</v>
      </c>
      <c r="H118" s="78">
        <f t="shared" ref="H118:I118" si="43">+H119+H121+H123+H125</f>
        <v>21810</v>
      </c>
      <c r="I118" s="78">
        <f t="shared" si="43"/>
        <v>0</v>
      </c>
      <c r="J118" s="78">
        <f t="shared" si="41"/>
        <v>21810</v>
      </c>
      <c r="K118" s="77"/>
    </row>
    <row r="119" spans="1:11" x14ac:dyDescent="0.2">
      <c r="A119" s="76">
        <v>2</v>
      </c>
      <c r="B119" s="73">
        <v>2</v>
      </c>
      <c r="C119" s="73">
        <v>4</v>
      </c>
      <c r="D119" s="73">
        <v>1</v>
      </c>
      <c r="E119" s="73"/>
      <c r="F119" s="76" t="s">
        <v>426</v>
      </c>
      <c r="G119" s="70">
        <f>SUM(G120)</f>
        <v>0</v>
      </c>
      <c r="H119" s="70">
        <f t="shared" ref="H119:I119" si="44">SUM(H120)</f>
        <v>600</v>
      </c>
      <c r="I119" s="70">
        <f t="shared" si="44"/>
        <v>0</v>
      </c>
      <c r="J119" s="70">
        <f t="shared" ref="J119:J185" si="45">SUM(G119:I119)</f>
        <v>600</v>
      </c>
      <c r="K119" s="69"/>
    </row>
    <row r="120" spans="1:11" x14ac:dyDescent="0.2">
      <c r="A120" s="75">
        <v>2</v>
      </c>
      <c r="B120" s="67">
        <v>2</v>
      </c>
      <c r="C120" s="67">
        <v>4</v>
      </c>
      <c r="D120" s="67">
        <v>1</v>
      </c>
      <c r="E120" s="82" t="s">
        <v>178</v>
      </c>
      <c r="F120" s="75" t="s">
        <v>426</v>
      </c>
      <c r="G120" s="64"/>
      <c r="H120" s="64">
        <v>600</v>
      </c>
      <c r="I120" s="64"/>
      <c r="J120" s="64">
        <f t="shared" si="45"/>
        <v>600</v>
      </c>
      <c r="K120" s="63">
        <f>J120/$J$25</f>
        <v>5.7984758012085686E-6</v>
      </c>
    </row>
    <row r="121" spans="1:11" x14ac:dyDescent="0.2">
      <c r="A121" s="76">
        <v>2</v>
      </c>
      <c r="B121" s="73">
        <v>2</v>
      </c>
      <c r="C121" s="73">
        <v>4</v>
      </c>
      <c r="D121" s="73">
        <v>2</v>
      </c>
      <c r="E121" s="73"/>
      <c r="F121" s="76" t="s">
        <v>425</v>
      </c>
      <c r="G121" s="70">
        <f>SUM(G122)</f>
        <v>0</v>
      </c>
      <c r="H121" s="70">
        <f t="shared" ref="H121:I121" si="46">SUM(H122)</f>
        <v>21000</v>
      </c>
      <c r="I121" s="70">
        <f t="shared" si="46"/>
        <v>0</v>
      </c>
      <c r="J121" s="70">
        <f t="shared" si="45"/>
        <v>21000</v>
      </c>
      <c r="K121" s="69"/>
    </row>
    <row r="122" spans="1:11" x14ac:dyDescent="0.2">
      <c r="A122" s="75">
        <v>2</v>
      </c>
      <c r="B122" s="67">
        <v>2</v>
      </c>
      <c r="C122" s="67">
        <v>4</v>
      </c>
      <c r="D122" s="67">
        <v>2</v>
      </c>
      <c r="E122" s="82" t="s">
        <v>178</v>
      </c>
      <c r="F122" s="75" t="s">
        <v>425</v>
      </c>
      <c r="G122" s="64"/>
      <c r="H122" s="64">
        <v>21000</v>
      </c>
      <c r="I122" s="64"/>
      <c r="J122" s="64">
        <f t="shared" si="45"/>
        <v>21000</v>
      </c>
      <c r="K122" s="63">
        <f>J122/$J$25</f>
        <v>2.0294665304229989E-4</v>
      </c>
    </row>
    <row r="123" spans="1:11" x14ac:dyDescent="0.2">
      <c r="A123" s="76">
        <v>2</v>
      </c>
      <c r="B123" s="73">
        <v>2</v>
      </c>
      <c r="C123" s="73">
        <v>4</v>
      </c>
      <c r="D123" s="73">
        <v>3</v>
      </c>
      <c r="E123" s="73"/>
      <c r="F123" s="76" t="s">
        <v>424</v>
      </c>
      <c r="G123" s="70">
        <f>SUM(G124)</f>
        <v>0</v>
      </c>
      <c r="H123" s="70">
        <f t="shared" ref="H123:I123" si="47">SUM(H124)</f>
        <v>0</v>
      </c>
      <c r="I123" s="70">
        <f t="shared" si="47"/>
        <v>0</v>
      </c>
      <c r="J123" s="70">
        <f t="shared" si="45"/>
        <v>0</v>
      </c>
      <c r="K123" s="69"/>
    </row>
    <row r="124" spans="1:11" x14ac:dyDescent="0.2">
      <c r="A124" s="75">
        <v>2</v>
      </c>
      <c r="B124" s="67">
        <v>2</v>
      </c>
      <c r="C124" s="67">
        <v>4</v>
      </c>
      <c r="D124" s="67">
        <v>3</v>
      </c>
      <c r="E124" s="82" t="s">
        <v>178</v>
      </c>
      <c r="F124" s="75" t="s">
        <v>424</v>
      </c>
      <c r="G124" s="64"/>
      <c r="H124" s="64"/>
      <c r="I124" s="64"/>
      <c r="J124" s="64">
        <f t="shared" si="45"/>
        <v>0</v>
      </c>
      <c r="K124" s="63">
        <f>J124/$J$25</f>
        <v>0</v>
      </c>
    </row>
    <row r="125" spans="1:11" x14ac:dyDescent="0.2">
      <c r="A125" s="76">
        <v>2</v>
      </c>
      <c r="B125" s="73">
        <v>2</v>
      </c>
      <c r="C125" s="73">
        <v>4</v>
      </c>
      <c r="D125" s="73">
        <v>4</v>
      </c>
      <c r="E125" s="73"/>
      <c r="F125" s="76" t="s">
        <v>423</v>
      </c>
      <c r="G125" s="70">
        <f>SUM(G126)</f>
        <v>0</v>
      </c>
      <c r="H125" s="70">
        <f t="shared" ref="H125:I125" si="48">SUM(H126)</f>
        <v>210</v>
      </c>
      <c r="I125" s="70">
        <f t="shared" si="48"/>
        <v>0</v>
      </c>
      <c r="J125" s="70">
        <f t="shared" si="45"/>
        <v>210</v>
      </c>
      <c r="K125" s="69"/>
    </row>
    <row r="126" spans="1:11" x14ac:dyDescent="0.2">
      <c r="A126" s="75">
        <v>2</v>
      </c>
      <c r="B126" s="67">
        <v>2</v>
      </c>
      <c r="C126" s="67">
        <v>4</v>
      </c>
      <c r="D126" s="67">
        <v>4</v>
      </c>
      <c r="E126" s="82" t="s">
        <v>178</v>
      </c>
      <c r="F126" s="75" t="s">
        <v>423</v>
      </c>
      <c r="G126" s="64"/>
      <c r="H126" s="64">
        <v>210</v>
      </c>
      <c r="I126" s="64"/>
      <c r="J126" s="64">
        <f t="shared" si="45"/>
        <v>210</v>
      </c>
      <c r="K126" s="63">
        <f>J126/$J$25</f>
        <v>2.0294665304229991E-6</v>
      </c>
    </row>
    <row r="127" spans="1:11" x14ac:dyDescent="0.2">
      <c r="A127" s="85">
        <v>2</v>
      </c>
      <c r="B127" s="80">
        <v>2</v>
      </c>
      <c r="C127" s="80">
        <v>5</v>
      </c>
      <c r="D127" s="80"/>
      <c r="E127" s="80"/>
      <c r="F127" s="81" t="s">
        <v>422</v>
      </c>
      <c r="G127" s="78">
        <f>+G128+G130+G132+G138+G140+G142+G144+G146</f>
        <v>0</v>
      </c>
      <c r="H127" s="78">
        <f t="shared" ref="H127:I127" si="49">+H128+H130+H132+H138+H140+H142+H144+H146</f>
        <v>1103300</v>
      </c>
      <c r="I127" s="78">
        <f t="shared" si="49"/>
        <v>0</v>
      </c>
      <c r="J127" s="78">
        <f t="shared" si="45"/>
        <v>1103300</v>
      </c>
      <c r="K127" s="77"/>
    </row>
    <row r="128" spans="1:11" x14ac:dyDescent="0.2">
      <c r="A128" s="76">
        <v>2</v>
      </c>
      <c r="B128" s="73">
        <v>2</v>
      </c>
      <c r="C128" s="73">
        <v>5</v>
      </c>
      <c r="D128" s="73">
        <v>1</v>
      </c>
      <c r="E128" s="72"/>
      <c r="F128" s="76" t="s">
        <v>421</v>
      </c>
      <c r="G128" s="70">
        <f>SUM(G129)</f>
        <v>0</v>
      </c>
      <c r="H128" s="70">
        <f t="shared" ref="H128:I128" si="50">SUM(H129)</f>
        <v>0</v>
      </c>
      <c r="I128" s="70">
        <f t="shared" si="50"/>
        <v>0</v>
      </c>
      <c r="J128" s="70">
        <f t="shared" si="45"/>
        <v>0</v>
      </c>
      <c r="K128" s="69"/>
    </row>
    <row r="129" spans="1:11" x14ac:dyDescent="0.2">
      <c r="A129" s="75">
        <v>2</v>
      </c>
      <c r="B129" s="67">
        <v>2</v>
      </c>
      <c r="C129" s="67">
        <v>5</v>
      </c>
      <c r="D129" s="67">
        <v>1</v>
      </c>
      <c r="E129" s="82" t="s">
        <v>178</v>
      </c>
      <c r="F129" s="75" t="s">
        <v>421</v>
      </c>
      <c r="G129" s="65"/>
      <c r="H129" s="65"/>
      <c r="I129" s="65"/>
      <c r="J129" s="64">
        <f t="shared" si="45"/>
        <v>0</v>
      </c>
      <c r="K129" s="63">
        <f>J129/$J$25</f>
        <v>0</v>
      </c>
    </row>
    <row r="130" spans="1:11" x14ac:dyDescent="0.2">
      <c r="A130" s="76">
        <v>2</v>
      </c>
      <c r="B130" s="73">
        <v>2</v>
      </c>
      <c r="C130" s="73">
        <v>5</v>
      </c>
      <c r="D130" s="73">
        <v>2</v>
      </c>
      <c r="E130" s="72"/>
      <c r="F130" s="76" t="s">
        <v>420</v>
      </c>
      <c r="G130" s="70">
        <f>SUM(G131)</f>
        <v>0</v>
      </c>
      <c r="H130" s="70">
        <f t="shared" ref="H130:I130" si="51">SUM(H131)</f>
        <v>837800</v>
      </c>
      <c r="I130" s="70">
        <f t="shared" si="51"/>
        <v>0</v>
      </c>
      <c r="J130" s="70">
        <f t="shared" si="45"/>
        <v>837800</v>
      </c>
      <c r="K130" s="69"/>
    </row>
    <row r="131" spans="1:11" x14ac:dyDescent="0.2">
      <c r="A131" s="75">
        <v>2</v>
      </c>
      <c r="B131" s="67">
        <v>2</v>
      </c>
      <c r="C131" s="67">
        <v>5</v>
      </c>
      <c r="D131" s="67">
        <v>2</v>
      </c>
      <c r="E131" s="82" t="s">
        <v>178</v>
      </c>
      <c r="F131" s="75" t="s">
        <v>420</v>
      </c>
      <c r="G131" s="65"/>
      <c r="H131" s="64">
        <v>837800</v>
      </c>
      <c r="I131" s="65"/>
      <c r="J131" s="64">
        <f t="shared" si="45"/>
        <v>837800</v>
      </c>
      <c r="K131" s="63">
        <f>J131/$J$25</f>
        <v>8.0966050437542309E-3</v>
      </c>
    </row>
    <row r="132" spans="1:11" x14ac:dyDescent="0.2">
      <c r="A132" s="76">
        <v>2</v>
      </c>
      <c r="B132" s="73">
        <v>2</v>
      </c>
      <c r="C132" s="73">
        <v>5</v>
      </c>
      <c r="D132" s="73">
        <v>3</v>
      </c>
      <c r="E132" s="72"/>
      <c r="F132" s="76" t="s">
        <v>419</v>
      </c>
      <c r="G132" s="70">
        <f>SUM(G133:G137)</f>
        <v>0</v>
      </c>
      <c r="H132" s="70">
        <f t="shared" ref="H132:I132" si="52">SUM(H133:H137)</f>
        <v>88500</v>
      </c>
      <c r="I132" s="70">
        <f t="shared" si="52"/>
        <v>0</v>
      </c>
      <c r="J132" s="70">
        <f t="shared" si="45"/>
        <v>88500</v>
      </c>
      <c r="K132" s="69"/>
    </row>
    <row r="133" spans="1:11" x14ac:dyDescent="0.2">
      <c r="A133" s="75">
        <v>2</v>
      </c>
      <c r="B133" s="67">
        <v>2</v>
      </c>
      <c r="C133" s="67">
        <v>5</v>
      </c>
      <c r="D133" s="67">
        <v>3</v>
      </c>
      <c r="E133" s="82" t="s">
        <v>178</v>
      </c>
      <c r="F133" s="75" t="s">
        <v>418</v>
      </c>
      <c r="G133" s="65"/>
      <c r="H133" s="64"/>
      <c r="I133" s="65"/>
      <c r="J133" s="64">
        <f t="shared" si="45"/>
        <v>0</v>
      </c>
      <c r="K133" s="63">
        <f>J133/$J$25</f>
        <v>0</v>
      </c>
    </row>
    <row r="134" spans="1:11" x14ac:dyDescent="0.2">
      <c r="A134" s="75">
        <v>2</v>
      </c>
      <c r="B134" s="67">
        <v>2</v>
      </c>
      <c r="C134" s="67">
        <v>5</v>
      </c>
      <c r="D134" s="67">
        <v>3</v>
      </c>
      <c r="E134" s="82" t="s">
        <v>182</v>
      </c>
      <c r="F134" s="75" t="s">
        <v>417</v>
      </c>
      <c r="G134" s="65"/>
      <c r="H134" s="65"/>
      <c r="I134" s="65"/>
      <c r="J134" s="64">
        <f t="shared" si="45"/>
        <v>0</v>
      </c>
      <c r="K134" s="63">
        <f>J134/$J$25</f>
        <v>0</v>
      </c>
    </row>
    <row r="135" spans="1:11" x14ac:dyDescent="0.2">
      <c r="A135" s="75">
        <v>2</v>
      </c>
      <c r="B135" s="67">
        <v>2</v>
      </c>
      <c r="C135" s="67">
        <v>5</v>
      </c>
      <c r="D135" s="67">
        <v>3</v>
      </c>
      <c r="E135" s="82" t="s">
        <v>180</v>
      </c>
      <c r="F135" s="75" t="s">
        <v>416</v>
      </c>
      <c r="G135" s="65"/>
      <c r="H135" s="65"/>
      <c r="I135" s="65"/>
      <c r="J135" s="64">
        <f t="shared" si="45"/>
        <v>0</v>
      </c>
      <c r="K135" s="63">
        <f>J135/$J$25</f>
        <v>0</v>
      </c>
    </row>
    <row r="136" spans="1:11" x14ac:dyDescent="0.2">
      <c r="A136" s="75">
        <v>2</v>
      </c>
      <c r="B136" s="67">
        <v>2</v>
      </c>
      <c r="C136" s="67">
        <v>5</v>
      </c>
      <c r="D136" s="67">
        <v>3</v>
      </c>
      <c r="E136" s="82" t="s">
        <v>260</v>
      </c>
      <c r="F136" s="75" t="s">
        <v>415</v>
      </c>
      <c r="G136" s="65"/>
      <c r="H136" s="64">
        <v>88500</v>
      </c>
      <c r="I136" s="65"/>
      <c r="J136" s="64">
        <f t="shared" si="45"/>
        <v>88500</v>
      </c>
      <c r="K136" s="63">
        <f>J136/$J$25</f>
        <v>8.5527518067826387E-4</v>
      </c>
    </row>
    <row r="137" spans="1:11" x14ac:dyDescent="0.2">
      <c r="A137" s="75">
        <v>2</v>
      </c>
      <c r="B137" s="67">
        <v>2</v>
      </c>
      <c r="C137" s="67">
        <v>5</v>
      </c>
      <c r="D137" s="67">
        <v>3</v>
      </c>
      <c r="E137" s="82" t="s">
        <v>258</v>
      </c>
      <c r="F137" s="75" t="s">
        <v>414</v>
      </c>
      <c r="G137" s="65"/>
      <c r="H137" s="64"/>
      <c r="I137" s="65"/>
      <c r="J137" s="64">
        <f t="shared" si="45"/>
        <v>0</v>
      </c>
      <c r="K137" s="63">
        <f>J137/$J$25</f>
        <v>0</v>
      </c>
    </row>
    <row r="138" spans="1:11" x14ac:dyDescent="0.2">
      <c r="A138" s="76">
        <v>2</v>
      </c>
      <c r="B138" s="73">
        <v>2</v>
      </c>
      <c r="C138" s="73">
        <v>5</v>
      </c>
      <c r="D138" s="73">
        <v>4</v>
      </c>
      <c r="E138" s="72"/>
      <c r="F138" s="76" t="s">
        <v>413</v>
      </c>
      <c r="G138" s="70">
        <f>SUM(G139)</f>
        <v>0</v>
      </c>
      <c r="H138" s="70">
        <f t="shared" ref="H138:I138" si="53">SUM(H139)</f>
        <v>0</v>
      </c>
      <c r="I138" s="70">
        <f t="shared" si="53"/>
        <v>0</v>
      </c>
      <c r="J138" s="70">
        <f t="shared" si="45"/>
        <v>0</v>
      </c>
      <c r="K138" s="69"/>
    </row>
    <row r="139" spans="1:11" x14ac:dyDescent="0.2">
      <c r="A139" s="75">
        <v>2</v>
      </c>
      <c r="B139" s="67">
        <v>2</v>
      </c>
      <c r="C139" s="67">
        <v>5</v>
      </c>
      <c r="D139" s="67">
        <v>4</v>
      </c>
      <c r="E139" s="82" t="s">
        <v>178</v>
      </c>
      <c r="F139" s="75" t="s">
        <v>413</v>
      </c>
      <c r="G139" s="65"/>
      <c r="H139" s="64"/>
      <c r="I139" s="65"/>
      <c r="J139" s="64">
        <f t="shared" si="45"/>
        <v>0</v>
      </c>
      <c r="K139" s="63">
        <f>J139/$J$25</f>
        <v>0</v>
      </c>
    </row>
    <row r="140" spans="1:11" x14ac:dyDescent="0.2">
      <c r="A140" s="76">
        <v>2</v>
      </c>
      <c r="B140" s="73">
        <v>2</v>
      </c>
      <c r="C140" s="73">
        <v>5</v>
      </c>
      <c r="D140" s="73">
        <v>5</v>
      </c>
      <c r="E140" s="72"/>
      <c r="F140" s="76" t="s">
        <v>412</v>
      </c>
      <c r="G140" s="70">
        <f>SUM(G141)</f>
        <v>0</v>
      </c>
      <c r="H140" s="70">
        <f>+H141</f>
        <v>0</v>
      </c>
      <c r="I140" s="70">
        <f t="shared" ref="I140" si="54">SUM(I141)</f>
        <v>0</v>
      </c>
      <c r="J140" s="70">
        <f t="shared" si="45"/>
        <v>0</v>
      </c>
      <c r="K140" s="69"/>
    </row>
    <row r="141" spans="1:11" x14ac:dyDescent="0.2">
      <c r="A141" s="75">
        <v>2</v>
      </c>
      <c r="B141" s="67">
        <v>2</v>
      </c>
      <c r="C141" s="67">
        <v>5</v>
      </c>
      <c r="D141" s="67">
        <v>5</v>
      </c>
      <c r="E141" s="82" t="s">
        <v>178</v>
      </c>
      <c r="F141" s="75" t="s">
        <v>412</v>
      </c>
      <c r="G141" s="65"/>
      <c r="H141" s="65"/>
      <c r="I141" s="65"/>
      <c r="J141" s="64">
        <f t="shared" si="45"/>
        <v>0</v>
      </c>
      <c r="K141" s="63">
        <f>J141/$J$25</f>
        <v>0</v>
      </c>
    </row>
    <row r="142" spans="1:11" x14ac:dyDescent="0.2">
      <c r="A142" s="76">
        <v>2</v>
      </c>
      <c r="B142" s="73">
        <v>2</v>
      </c>
      <c r="C142" s="73">
        <v>5</v>
      </c>
      <c r="D142" s="73">
        <v>6</v>
      </c>
      <c r="E142" s="72"/>
      <c r="F142" s="76" t="s">
        <v>411</v>
      </c>
      <c r="G142" s="70">
        <f>SUM(G143)</f>
        <v>0</v>
      </c>
      <c r="H142" s="70">
        <f t="shared" ref="H142:I142" si="55">SUM(H143)</f>
        <v>0</v>
      </c>
      <c r="I142" s="70">
        <f t="shared" si="55"/>
        <v>0</v>
      </c>
      <c r="J142" s="70">
        <f t="shared" si="45"/>
        <v>0</v>
      </c>
      <c r="K142" s="69"/>
    </row>
    <row r="143" spans="1:11" x14ac:dyDescent="0.2">
      <c r="A143" s="75">
        <v>2</v>
      </c>
      <c r="B143" s="67">
        <v>2</v>
      </c>
      <c r="C143" s="67">
        <v>5</v>
      </c>
      <c r="D143" s="67">
        <v>6</v>
      </c>
      <c r="E143" s="82" t="s">
        <v>178</v>
      </c>
      <c r="F143" s="75" t="s">
        <v>411</v>
      </c>
      <c r="G143" s="65"/>
      <c r="H143" s="65"/>
      <c r="I143" s="65"/>
      <c r="J143" s="64">
        <f t="shared" si="45"/>
        <v>0</v>
      </c>
      <c r="K143" s="63">
        <f>J143/$J$25</f>
        <v>0</v>
      </c>
    </row>
    <row r="144" spans="1:11" x14ac:dyDescent="0.2">
      <c r="A144" s="76">
        <v>2</v>
      </c>
      <c r="B144" s="73">
        <v>2</v>
      </c>
      <c r="C144" s="73">
        <v>5</v>
      </c>
      <c r="D144" s="73">
        <v>7</v>
      </c>
      <c r="E144" s="72"/>
      <c r="F144" s="76" t="s">
        <v>410</v>
      </c>
      <c r="G144" s="70">
        <f>SUM(G145)</f>
        <v>0</v>
      </c>
      <c r="H144" s="70">
        <f t="shared" ref="H144:I144" si="56">SUM(H145)</f>
        <v>0</v>
      </c>
      <c r="I144" s="70">
        <f t="shared" si="56"/>
        <v>0</v>
      </c>
      <c r="J144" s="70">
        <f t="shared" si="45"/>
        <v>0</v>
      </c>
      <c r="K144" s="69"/>
    </row>
    <row r="145" spans="1:11" x14ac:dyDescent="0.2">
      <c r="A145" s="75">
        <v>2</v>
      </c>
      <c r="B145" s="67">
        <v>2</v>
      </c>
      <c r="C145" s="67">
        <v>5</v>
      </c>
      <c r="D145" s="67">
        <v>7</v>
      </c>
      <c r="E145" s="82" t="s">
        <v>178</v>
      </c>
      <c r="F145" s="75" t="s">
        <v>410</v>
      </c>
      <c r="G145" s="65"/>
      <c r="H145" s="65"/>
      <c r="I145" s="65"/>
      <c r="J145" s="64">
        <f t="shared" si="45"/>
        <v>0</v>
      </c>
      <c r="K145" s="63">
        <f>J145/$J$25</f>
        <v>0</v>
      </c>
    </row>
    <row r="146" spans="1:11" x14ac:dyDescent="0.2">
      <c r="A146" s="76">
        <v>2</v>
      </c>
      <c r="B146" s="73">
        <v>2</v>
      </c>
      <c r="C146" s="73">
        <v>5</v>
      </c>
      <c r="D146" s="73">
        <v>8</v>
      </c>
      <c r="E146" s="72"/>
      <c r="F146" s="76" t="s">
        <v>409</v>
      </c>
      <c r="G146" s="70">
        <f>SUM(G147)</f>
        <v>0</v>
      </c>
      <c r="H146" s="70">
        <f t="shared" ref="H146:I146" si="57">SUM(H147)</f>
        <v>177000</v>
      </c>
      <c r="I146" s="70">
        <f t="shared" si="57"/>
        <v>0</v>
      </c>
      <c r="J146" s="70">
        <f t="shared" si="45"/>
        <v>177000</v>
      </c>
      <c r="K146" s="69"/>
    </row>
    <row r="147" spans="1:11" x14ac:dyDescent="0.2">
      <c r="A147" s="75">
        <v>2</v>
      </c>
      <c r="B147" s="67">
        <v>2</v>
      </c>
      <c r="C147" s="67">
        <v>5</v>
      </c>
      <c r="D147" s="67">
        <v>8</v>
      </c>
      <c r="E147" s="82" t="s">
        <v>178</v>
      </c>
      <c r="F147" s="75" t="s">
        <v>409</v>
      </c>
      <c r="G147" s="65"/>
      <c r="H147" s="64">
        <v>177000</v>
      </c>
      <c r="I147" s="65"/>
      <c r="J147" s="64">
        <f t="shared" si="45"/>
        <v>177000</v>
      </c>
      <c r="K147" s="63">
        <f>J147/$J$25</f>
        <v>1.7105503613565277E-3</v>
      </c>
    </row>
    <row r="148" spans="1:11" x14ac:dyDescent="0.2">
      <c r="A148" s="85">
        <v>2</v>
      </c>
      <c r="B148" s="80">
        <v>2</v>
      </c>
      <c r="C148" s="80">
        <v>6</v>
      </c>
      <c r="D148" s="80"/>
      <c r="E148" s="80"/>
      <c r="F148" s="81" t="s">
        <v>408</v>
      </c>
      <c r="G148" s="78">
        <f>+G149+G151+G153+G155</f>
        <v>0</v>
      </c>
      <c r="H148" s="78">
        <f t="shared" ref="H148:I148" si="58">+H149+H151+H153+H155</f>
        <v>350918.44</v>
      </c>
      <c r="I148" s="78">
        <f t="shared" si="58"/>
        <v>0</v>
      </c>
      <c r="J148" s="78">
        <f>SUM(G148:I148)</f>
        <v>350918.44</v>
      </c>
      <c r="K148" s="77"/>
    </row>
    <row r="149" spans="1:11" x14ac:dyDescent="0.2">
      <c r="A149" s="76">
        <v>2</v>
      </c>
      <c r="B149" s="73">
        <v>2</v>
      </c>
      <c r="C149" s="73">
        <v>6</v>
      </c>
      <c r="D149" s="73">
        <v>1</v>
      </c>
      <c r="E149" s="72"/>
      <c r="F149" s="76" t="s">
        <v>407</v>
      </c>
      <c r="G149" s="70">
        <f>SUM(G150)</f>
        <v>0</v>
      </c>
      <c r="H149" s="70">
        <f t="shared" ref="H149:I149" si="59">SUM(H150)</f>
        <v>0</v>
      </c>
      <c r="I149" s="70">
        <f t="shared" si="59"/>
        <v>0</v>
      </c>
      <c r="J149" s="70">
        <f t="shared" si="45"/>
        <v>0</v>
      </c>
      <c r="K149" s="69"/>
    </row>
    <row r="150" spans="1:11" x14ac:dyDescent="0.2">
      <c r="A150" s="75">
        <v>2</v>
      </c>
      <c r="B150" s="67">
        <v>2</v>
      </c>
      <c r="C150" s="67">
        <v>6</v>
      </c>
      <c r="D150" s="67">
        <v>1</v>
      </c>
      <c r="E150" s="82" t="s">
        <v>178</v>
      </c>
      <c r="F150" s="75" t="s">
        <v>407</v>
      </c>
      <c r="G150" s="65"/>
      <c r="H150" s="65"/>
      <c r="I150" s="65"/>
      <c r="J150" s="64">
        <f t="shared" si="45"/>
        <v>0</v>
      </c>
      <c r="K150" s="63">
        <f>J150/$J$25</f>
        <v>0</v>
      </c>
    </row>
    <row r="151" spans="1:11" x14ac:dyDescent="0.2">
      <c r="A151" s="76">
        <v>2</v>
      </c>
      <c r="B151" s="73">
        <v>2</v>
      </c>
      <c r="C151" s="73">
        <v>6</v>
      </c>
      <c r="D151" s="73">
        <v>2</v>
      </c>
      <c r="E151" s="73"/>
      <c r="F151" s="76" t="s">
        <v>406</v>
      </c>
      <c r="G151" s="70">
        <f>SUM(G152)</f>
        <v>0</v>
      </c>
      <c r="H151" s="70">
        <f t="shared" ref="H151:I151" si="60">SUM(H152)</f>
        <v>0</v>
      </c>
      <c r="I151" s="70">
        <f t="shared" si="60"/>
        <v>0</v>
      </c>
      <c r="J151" s="70">
        <f t="shared" si="45"/>
        <v>0</v>
      </c>
      <c r="K151" s="69"/>
    </row>
    <row r="152" spans="1:11" x14ac:dyDescent="0.2">
      <c r="A152" s="75">
        <v>2</v>
      </c>
      <c r="B152" s="67">
        <v>2</v>
      </c>
      <c r="C152" s="67">
        <v>6</v>
      </c>
      <c r="D152" s="67">
        <v>2</v>
      </c>
      <c r="E152" s="82" t="s">
        <v>178</v>
      </c>
      <c r="F152" s="75" t="s">
        <v>406</v>
      </c>
      <c r="G152" s="65"/>
      <c r="H152" s="65"/>
      <c r="I152" s="65"/>
      <c r="J152" s="64">
        <f t="shared" si="45"/>
        <v>0</v>
      </c>
      <c r="K152" s="63">
        <f>J152/$J$25</f>
        <v>0</v>
      </c>
    </row>
    <row r="153" spans="1:11" x14ac:dyDescent="0.2">
      <c r="A153" s="76">
        <v>2</v>
      </c>
      <c r="B153" s="73">
        <v>2</v>
      </c>
      <c r="C153" s="73">
        <v>6</v>
      </c>
      <c r="D153" s="73">
        <v>3</v>
      </c>
      <c r="E153" s="73"/>
      <c r="F153" s="76" t="s">
        <v>405</v>
      </c>
      <c r="G153" s="70">
        <f>SUM(G154)</f>
        <v>0</v>
      </c>
      <c r="H153" s="70">
        <f t="shared" ref="H153:I153" si="61">SUM(H154)</f>
        <v>350918.44</v>
      </c>
      <c r="I153" s="70">
        <f t="shared" si="61"/>
        <v>0</v>
      </c>
      <c r="J153" s="70">
        <f t="shared" si="45"/>
        <v>350918.44</v>
      </c>
      <c r="K153" s="69"/>
    </row>
    <row r="154" spans="1:11" x14ac:dyDescent="0.2">
      <c r="A154" s="75">
        <v>2</v>
      </c>
      <c r="B154" s="67">
        <v>2</v>
      </c>
      <c r="C154" s="67">
        <v>6</v>
      </c>
      <c r="D154" s="67">
        <v>3</v>
      </c>
      <c r="E154" s="82" t="s">
        <v>178</v>
      </c>
      <c r="F154" s="75" t="s">
        <v>405</v>
      </c>
      <c r="G154" s="65"/>
      <c r="H154" s="64">
        <v>350918.44</v>
      </c>
      <c r="I154" s="65"/>
      <c r="J154" s="64">
        <f t="shared" si="45"/>
        <v>350918.44</v>
      </c>
      <c r="K154" s="63">
        <f>J154/$J$25</f>
        <v>3.3913201375631017E-3</v>
      </c>
    </row>
    <row r="155" spans="1:11" x14ac:dyDescent="0.2">
      <c r="A155" s="76">
        <v>2</v>
      </c>
      <c r="B155" s="73">
        <v>2</v>
      </c>
      <c r="C155" s="73">
        <v>6</v>
      </c>
      <c r="D155" s="73">
        <v>4</v>
      </c>
      <c r="E155" s="73"/>
      <c r="F155" s="76" t="s">
        <v>404</v>
      </c>
      <c r="G155" s="70">
        <f>SUM(G156)</f>
        <v>0</v>
      </c>
      <c r="H155" s="70">
        <f t="shared" ref="H155:I155" si="62">SUM(H156)</f>
        <v>0</v>
      </c>
      <c r="I155" s="70">
        <f t="shared" si="62"/>
        <v>0</v>
      </c>
      <c r="J155" s="70">
        <f t="shared" si="45"/>
        <v>0</v>
      </c>
      <c r="K155" s="69"/>
    </row>
    <row r="156" spans="1:11" x14ac:dyDescent="0.2">
      <c r="A156" s="75">
        <v>2</v>
      </c>
      <c r="B156" s="67">
        <v>2</v>
      </c>
      <c r="C156" s="67">
        <v>6</v>
      </c>
      <c r="D156" s="67">
        <v>4</v>
      </c>
      <c r="E156" s="82" t="s">
        <v>178</v>
      </c>
      <c r="F156" s="75" t="s">
        <v>404</v>
      </c>
      <c r="G156" s="65"/>
      <c r="H156" s="65"/>
      <c r="I156" s="65"/>
      <c r="J156" s="64">
        <f t="shared" si="45"/>
        <v>0</v>
      </c>
      <c r="K156" s="63">
        <f>J156/$J$25</f>
        <v>0</v>
      </c>
    </row>
    <row r="157" spans="1:11" ht="25.5" x14ac:dyDescent="0.2">
      <c r="A157" s="85">
        <v>2</v>
      </c>
      <c r="B157" s="80">
        <v>2</v>
      </c>
      <c r="C157" s="80">
        <v>7</v>
      </c>
      <c r="D157" s="80"/>
      <c r="E157" s="84"/>
      <c r="F157" s="90" t="s">
        <v>403</v>
      </c>
      <c r="G157" s="78">
        <f>+G158+G167+G177</f>
        <v>0</v>
      </c>
      <c r="H157" s="78">
        <f>+H158+H167+H177</f>
        <v>60710.45</v>
      </c>
      <c r="I157" s="78">
        <f>+I158+I167+I177</f>
        <v>0</v>
      </c>
      <c r="J157" s="78">
        <f t="shared" si="45"/>
        <v>60710.45</v>
      </c>
      <c r="K157" s="77"/>
    </row>
    <row r="158" spans="1:11" x14ac:dyDescent="0.2">
      <c r="A158" s="76">
        <v>2</v>
      </c>
      <c r="B158" s="73">
        <v>2</v>
      </c>
      <c r="C158" s="73">
        <v>7</v>
      </c>
      <c r="D158" s="73">
        <v>1</v>
      </c>
      <c r="E158" s="73"/>
      <c r="F158" s="76" t="s">
        <v>402</v>
      </c>
      <c r="G158" s="70">
        <f>SUM(G159:G166)</f>
        <v>0</v>
      </c>
      <c r="H158" s="70">
        <f t="shared" ref="H158:I158" si="63">SUM(H159:H166)</f>
        <v>0</v>
      </c>
      <c r="I158" s="70">
        <f t="shared" si="63"/>
        <v>0</v>
      </c>
      <c r="J158" s="70">
        <f>SUM(G158:I158)</f>
        <v>0</v>
      </c>
      <c r="K158" s="69"/>
    </row>
    <row r="159" spans="1:11" x14ac:dyDescent="0.2">
      <c r="A159" s="68">
        <v>2</v>
      </c>
      <c r="B159" s="67">
        <v>2</v>
      </c>
      <c r="C159" s="67">
        <v>7</v>
      </c>
      <c r="D159" s="67">
        <v>1</v>
      </c>
      <c r="E159" s="82" t="s">
        <v>178</v>
      </c>
      <c r="F159" s="89" t="s">
        <v>401</v>
      </c>
      <c r="G159" s="65"/>
      <c r="H159" s="64"/>
      <c r="I159" s="65"/>
      <c r="J159" s="64">
        <f t="shared" si="45"/>
        <v>0</v>
      </c>
      <c r="K159" s="63">
        <f t="shared" ref="K159:K166" si="64">J159/$J$25</f>
        <v>0</v>
      </c>
    </row>
    <row r="160" spans="1:11" x14ac:dyDescent="0.2">
      <c r="A160" s="68">
        <v>2</v>
      </c>
      <c r="B160" s="67">
        <v>2</v>
      </c>
      <c r="C160" s="67">
        <v>7</v>
      </c>
      <c r="D160" s="67">
        <v>1</v>
      </c>
      <c r="E160" s="82" t="s">
        <v>182</v>
      </c>
      <c r="F160" s="89" t="s">
        <v>400</v>
      </c>
      <c r="G160" s="65"/>
      <c r="H160" s="65"/>
      <c r="I160" s="65"/>
      <c r="J160" s="64">
        <f t="shared" si="45"/>
        <v>0</v>
      </c>
      <c r="K160" s="63">
        <f t="shared" si="64"/>
        <v>0</v>
      </c>
    </row>
    <row r="161" spans="1:11" x14ac:dyDescent="0.2">
      <c r="A161" s="68">
        <v>2</v>
      </c>
      <c r="B161" s="67">
        <v>2</v>
      </c>
      <c r="C161" s="67">
        <v>7</v>
      </c>
      <c r="D161" s="67">
        <v>1</v>
      </c>
      <c r="E161" s="82" t="s">
        <v>180</v>
      </c>
      <c r="F161" s="89" t="s">
        <v>399</v>
      </c>
      <c r="G161" s="65"/>
      <c r="H161" s="65"/>
      <c r="I161" s="65"/>
      <c r="J161" s="64">
        <f t="shared" si="45"/>
        <v>0</v>
      </c>
      <c r="K161" s="63">
        <f t="shared" si="64"/>
        <v>0</v>
      </c>
    </row>
    <row r="162" spans="1:11" ht="25.5" x14ac:dyDescent="0.2">
      <c r="A162" s="68">
        <v>2</v>
      </c>
      <c r="B162" s="67">
        <v>2</v>
      </c>
      <c r="C162" s="67">
        <v>7</v>
      </c>
      <c r="D162" s="67">
        <v>1</v>
      </c>
      <c r="E162" s="82" t="s">
        <v>260</v>
      </c>
      <c r="F162" s="89" t="s">
        <v>398</v>
      </c>
      <c r="G162" s="65"/>
      <c r="H162" s="64"/>
      <c r="I162" s="65"/>
      <c r="J162" s="64">
        <f>SUM(G162:I162)</f>
        <v>0</v>
      </c>
      <c r="K162" s="63">
        <f t="shared" si="64"/>
        <v>0</v>
      </c>
    </row>
    <row r="163" spans="1:11" x14ac:dyDescent="0.2">
      <c r="A163" s="68">
        <v>2</v>
      </c>
      <c r="B163" s="67">
        <v>2</v>
      </c>
      <c r="C163" s="67">
        <v>7</v>
      </c>
      <c r="D163" s="67">
        <v>1</v>
      </c>
      <c r="E163" s="82" t="s">
        <v>258</v>
      </c>
      <c r="F163" s="89" t="s">
        <v>397</v>
      </c>
      <c r="G163" s="65"/>
      <c r="H163" s="65"/>
      <c r="I163" s="65"/>
      <c r="J163" s="64">
        <f t="shared" si="45"/>
        <v>0</v>
      </c>
      <c r="K163" s="63">
        <f t="shared" si="64"/>
        <v>0</v>
      </c>
    </row>
    <row r="164" spans="1:11" x14ac:dyDescent="0.2">
      <c r="A164" s="68">
        <v>2</v>
      </c>
      <c r="B164" s="67">
        <v>2</v>
      </c>
      <c r="C164" s="67">
        <v>7</v>
      </c>
      <c r="D164" s="67">
        <v>1</v>
      </c>
      <c r="E164" s="82" t="s">
        <v>282</v>
      </c>
      <c r="F164" s="89" t="s">
        <v>396</v>
      </c>
      <c r="G164" s="65"/>
      <c r="H164" s="64"/>
      <c r="I164" s="65"/>
      <c r="J164" s="64">
        <f t="shared" si="45"/>
        <v>0</v>
      </c>
      <c r="K164" s="63">
        <f t="shared" si="64"/>
        <v>0</v>
      </c>
    </row>
    <row r="165" spans="1:11" ht="25.5" x14ac:dyDescent="0.2">
      <c r="A165" s="68">
        <v>2</v>
      </c>
      <c r="B165" s="67">
        <v>2</v>
      </c>
      <c r="C165" s="67">
        <v>7</v>
      </c>
      <c r="D165" s="67">
        <v>1</v>
      </c>
      <c r="E165" s="82" t="s">
        <v>290</v>
      </c>
      <c r="F165" s="89" t="s">
        <v>395</v>
      </c>
      <c r="G165" s="65"/>
      <c r="H165" s="65"/>
      <c r="I165" s="65"/>
      <c r="J165" s="64">
        <f t="shared" si="45"/>
        <v>0</v>
      </c>
      <c r="K165" s="63">
        <f t="shared" si="64"/>
        <v>0</v>
      </c>
    </row>
    <row r="166" spans="1:11" ht="25.5" x14ac:dyDescent="0.2">
      <c r="A166" s="68">
        <v>2</v>
      </c>
      <c r="B166" s="67">
        <v>2</v>
      </c>
      <c r="C166" s="67">
        <v>7</v>
      </c>
      <c r="D166" s="67">
        <v>1</v>
      </c>
      <c r="E166" s="82" t="s">
        <v>383</v>
      </c>
      <c r="F166" s="89" t="s">
        <v>394</v>
      </c>
      <c r="G166" s="65"/>
      <c r="H166" s="64"/>
      <c r="I166" s="65"/>
      <c r="J166" s="64">
        <f t="shared" si="45"/>
        <v>0</v>
      </c>
      <c r="K166" s="63">
        <f t="shared" si="64"/>
        <v>0</v>
      </c>
    </row>
    <row r="167" spans="1:11" x14ac:dyDescent="0.2">
      <c r="A167" s="76">
        <v>2</v>
      </c>
      <c r="B167" s="73">
        <v>2</v>
      </c>
      <c r="C167" s="73">
        <v>7</v>
      </c>
      <c r="D167" s="73">
        <v>2</v>
      </c>
      <c r="E167" s="73"/>
      <c r="F167" s="76" t="s">
        <v>393</v>
      </c>
      <c r="G167" s="70">
        <f>SUM(G168:G176)</f>
        <v>0</v>
      </c>
      <c r="H167" s="70">
        <f t="shared" ref="H167:I167" si="65">SUM(H168:H176)</f>
        <v>60710.45</v>
      </c>
      <c r="I167" s="70">
        <f t="shared" si="65"/>
        <v>0</v>
      </c>
      <c r="J167" s="70">
        <f>SUM(G167:I167)</f>
        <v>60710.45</v>
      </c>
      <c r="K167" s="69"/>
    </row>
    <row r="168" spans="1:11" x14ac:dyDescent="0.2">
      <c r="A168" s="68">
        <v>2</v>
      </c>
      <c r="B168" s="67">
        <v>2</v>
      </c>
      <c r="C168" s="67">
        <v>7</v>
      </c>
      <c r="D168" s="67">
        <v>2</v>
      </c>
      <c r="E168" s="82" t="s">
        <v>178</v>
      </c>
      <c r="F168" s="89" t="s">
        <v>392</v>
      </c>
      <c r="G168" s="65"/>
      <c r="H168" s="64"/>
      <c r="I168" s="65"/>
      <c r="J168" s="64">
        <f t="shared" si="45"/>
        <v>0</v>
      </c>
      <c r="K168" s="63">
        <f t="shared" ref="K168:K176" si="66">J168/$J$25</f>
        <v>0</v>
      </c>
    </row>
    <row r="169" spans="1:11" ht="12" customHeight="1" x14ac:dyDescent="0.2">
      <c r="A169" s="68">
        <v>2</v>
      </c>
      <c r="B169" s="67">
        <v>2</v>
      </c>
      <c r="C169" s="67">
        <v>7</v>
      </c>
      <c r="D169" s="67">
        <v>2</v>
      </c>
      <c r="E169" s="82" t="s">
        <v>182</v>
      </c>
      <c r="F169" s="89" t="s">
        <v>391</v>
      </c>
      <c r="G169" s="64"/>
      <c r="H169" s="64">
        <v>4130</v>
      </c>
      <c r="I169" s="65"/>
      <c r="J169" s="64">
        <f t="shared" si="45"/>
        <v>4130</v>
      </c>
      <c r="K169" s="63">
        <f t="shared" si="66"/>
        <v>3.9912841764985644E-5</v>
      </c>
    </row>
    <row r="170" spans="1:11" x14ac:dyDescent="0.2">
      <c r="A170" s="68">
        <v>2</v>
      </c>
      <c r="B170" s="67">
        <v>2</v>
      </c>
      <c r="C170" s="67">
        <v>7</v>
      </c>
      <c r="D170" s="67">
        <v>2</v>
      </c>
      <c r="E170" s="82" t="s">
        <v>180</v>
      </c>
      <c r="F170" s="89" t="s">
        <v>390</v>
      </c>
      <c r="G170" s="65"/>
      <c r="H170" s="64"/>
      <c r="I170" s="65"/>
      <c r="J170" s="64">
        <f t="shared" si="45"/>
        <v>0</v>
      </c>
      <c r="K170" s="63">
        <f t="shared" si="66"/>
        <v>0</v>
      </c>
    </row>
    <row r="171" spans="1:11" ht="25.5" x14ac:dyDescent="0.2">
      <c r="A171" s="68">
        <v>2</v>
      </c>
      <c r="B171" s="67">
        <v>2</v>
      </c>
      <c r="C171" s="67">
        <v>7</v>
      </c>
      <c r="D171" s="67">
        <v>2</v>
      </c>
      <c r="E171" s="82" t="s">
        <v>260</v>
      </c>
      <c r="F171" s="89" t="s">
        <v>389</v>
      </c>
      <c r="G171" s="65"/>
      <c r="H171" s="64"/>
      <c r="I171" s="65"/>
      <c r="J171" s="64">
        <f t="shared" si="45"/>
        <v>0</v>
      </c>
      <c r="K171" s="63">
        <f t="shared" si="66"/>
        <v>0</v>
      </c>
    </row>
    <row r="172" spans="1:11" x14ac:dyDescent="0.2">
      <c r="A172" s="68">
        <v>2</v>
      </c>
      <c r="B172" s="67">
        <v>2</v>
      </c>
      <c r="C172" s="67">
        <v>7</v>
      </c>
      <c r="D172" s="67">
        <v>2</v>
      </c>
      <c r="E172" s="82" t="s">
        <v>258</v>
      </c>
      <c r="F172" s="89" t="s">
        <v>388</v>
      </c>
      <c r="G172" s="65"/>
      <c r="H172" s="65"/>
      <c r="I172" s="65"/>
      <c r="J172" s="64">
        <f t="shared" si="45"/>
        <v>0</v>
      </c>
      <c r="K172" s="63">
        <f t="shared" si="66"/>
        <v>0</v>
      </c>
    </row>
    <row r="173" spans="1:11" ht="25.5" x14ac:dyDescent="0.2">
      <c r="A173" s="68">
        <v>2</v>
      </c>
      <c r="B173" s="67">
        <v>2</v>
      </c>
      <c r="C173" s="67">
        <v>7</v>
      </c>
      <c r="D173" s="67">
        <v>2</v>
      </c>
      <c r="E173" s="82" t="s">
        <v>282</v>
      </c>
      <c r="F173" s="66" t="s">
        <v>387</v>
      </c>
      <c r="G173" s="65"/>
      <c r="H173" s="64">
        <f>4850.45+400</f>
        <v>5250.45</v>
      </c>
      <c r="I173" s="64"/>
      <c r="J173" s="64">
        <f t="shared" si="45"/>
        <v>5250.45</v>
      </c>
      <c r="K173" s="63">
        <f t="shared" si="66"/>
        <v>5.0741012117425879E-5</v>
      </c>
    </row>
    <row r="174" spans="1:11" x14ac:dyDescent="0.2">
      <c r="A174" s="68">
        <v>2</v>
      </c>
      <c r="B174" s="67">
        <v>2</v>
      </c>
      <c r="C174" s="67">
        <v>7</v>
      </c>
      <c r="D174" s="67">
        <v>2</v>
      </c>
      <c r="E174" s="82" t="s">
        <v>290</v>
      </c>
      <c r="F174" s="66" t="s">
        <v>386</v>
      </c>
      <c r="G174" s="65"/>
      <c r="H174" s="64">
        <v>51330</v>
      </c>
      <c r="I174" s="64"/>
      <c r="J174" s="64">
        <f t="shared" si="45"/>
        <v>51330</v>
      </c>
      <c r="K174" s="63">
        <f t="shared" si="66"/>
        <v>4.9605960479339308E-4</v>
      </c>
    </row>
    <row r="175" spans="1:11" x14ac:dyDescent="0.2">
      <c r="A175" s="68">
        <v>2</v>
      </c>
      <c r="B175" s="67">
        <v>2</v>
      </c>
      <c r="C175" s="67">
        <v>7</v>
      </c>
      <c r="D175" s="67">
        <v>2</v>
      </c>
      <c r="E175" s="82" t="s">
        <v>385</v>
      </c>
      <c r="F175" s="66" t="s">
        <v>384</v>
      </c>
      <c r="G175" s="65"/>
      <c r="H175" s="64"/>
      <c r="I175" s="64"/>
      <c r="J175" s="64">
        <f t="shared" si="45"/>
        <v>0</v>
      </c>
      <c r="K175" s="63">
        <f t="shared" si="66"/>
        <v>0</v>
      </c>
    </row>
    <row r="176" spans="1:11" ht="25.5" x14ac:dyDescent="0.2">
      <c r="A176" s="68">
        <v>2</v>
      </c>
      <c r="B176" s="67">
        <v>2</v>
      </c>
      <c r="C176" s="67">
        <v>7</v>
      </c>
      <c r="D176" s="67">
        <v>2</v>
      </c>
      <c r="E176" s="82" t="s">
        <v>383</v>
      </c>
      <c r="F176" s="66" t="s">
        <v>382</v>
      </c>
      <c r="G176" s="65"/>
      <c r="H176" s="65"/>
      <c r="I176" s="64"/>
      <c r="J176" s="64">
        <f t="shared" si="45"/>
        <v>0</v>
      </c>
      <c r="K176" s="63">
        <f t="shared" si="66"/>
        <v>0</v>
      </c>
    </row>
    <row r="177" spans="1:11" x14ac:dyDescent="0.2">
      <c r="A177" s="74">
        <v>2</v>
      </c>
      <c r="B177" s="73">
        <v>2</v>
      </c>
      <c r="C177" s="73">
        <v>7</v>
      </c>
      <c r="D177" s="73">
        <v>3</v>
      </c>
      <c r="E177" s="72"/>
      <c r="F177" s="74" t="s">
        <v>381</v>
      </c>
      <c r="G177" s="70">
        <f>SUM(G178)</f>
        <v>0</v>
      </c>
      <c r="H177" s="70">
        <f t="shared" ref="H177:I177" si="67">SUM(H178)</f>
        <v>0</v>
      </c>
      <c r="I177" s="70">
        <f t="shared" si="67"/>
        <v>0</v>
      </c>
      <c r="J177" s="70">
        <f>SUM(G177:I177)</f>
        <v>0</v>
      </c>
      <c r="K177" s="69"/>
    </row>
    <row r="178" spans="1:11" x14ac:dyDescent="0.2">
      <c r="A178" s="68">
        <v>2</v>
      </c>
      <c r="B178" s="67">
        <v>2</v>
      </c>
      <c r="C178" s="67">
        <v>7</v>
      </c>
      <c r="D178" s="67">
        <v>3</v>
      </c>
      <c r="E178" s="82" t="s">
        <v>178</v>
      </c>
      <c r="F178" s="68" t="s">
        <v>381</v>
      </c>
      <c r="G178" s="65"/>
      <c r="H178" s="65"/>
      <c r="I178" s="65"/>
      <c r="J178" s="64">
        <f>SUM(G178:I178)</f>
        <v>0</v>
      </c>
      <c r="K178" s="63">
        <f>J178/$J$25</f>
        <v>0</v>
      </c>
    </row>
    <row r="179" spans="1:11" x14ac:dyDescent="0.2">
      <c r="A179" s="85">
        <v>2</v>
      </c>
      <c r="B179" s="80">
        <v>2</v>
      </c>
      <c r="C179" s="80">
        <v>8</v>
      </c>
      <c r="D179" s="80"/>
      <c r="E179" s="80"/>
      <c r="F179" s="85" t="s">
        <v>380</v>
      </c>
      <c r="G179" s="78">
        <f>+G180+G182+G184+G186+G188+G192+G197+G204</f>
        <v>0</v>
      </c>
      <c r="H179" s="78">
        <f t="shared" ref="H179:I179" si="68">+H180+H182+H184+H186+H188+H192+H197+H204</f>
        <v>1710441.04</v>
      </c>
      <c r="I179" s="78">
        <f t="shared" si="68"/>
        <v>0</v>
      </c>
      <c r="J179" s="78">
        <f t="shared" si="45"/>
        <v>1710441.04</v>
      </c>
      <c r="K179" s="77"/>
    </row>
    <row r="180" spans="1:11" x14ac:dyDescent="0.2">
      <c r="A180" s="74">
        <v>2</v>
      </c>
      <c r="B180" s="73">
        <v>2</v>
      </c>
      <c r="C180" s="73">
        <v>8</v>
      </c>
      <c r="D180" s="73">
        <v>1</v>
      </c>
      <c r="E180" s="73"/>
      <c r="F180" s="74" t="s">
        <v>379</v>
      </c>
      <c r="G180" s="70">
        <f>SUM(G181)</f>
        <v>0</v>
      </c>
      <c r="H180" s="70">
        <f t="shared" ref="H180:I180" si="69">SUM(H181)</f>
        <v>0</v>
      </c>
      <c r="I180" s="70">
        <f t="shared" si="69"/>
        <v>0</v>
      </c>
      <c r="J180" s="70">
        <f t="shared" si="45"/>
        <v>0</v>
      </c>
      <c r="K180" s="69"/>
    </row>
    <row r="181" spans="1:11" x14ac:dyDescent="0.2">
      <c r="A181" s="68">
        <v>2</v>
      </c>
      <c r="B181" s="67">
        <v>2</v>
      </c>
      <c r="C181" s="67">
        <v>8</v>
      </c>
      <c r="D181" s="67">
        <v>1</v>
      </c>
      <c r="E181" s="82" t="s">
        <v>178</v>
      </c>
      <c r="F181" s="68" t="s">
        <v>379</v>
      </c>
      <c r="G181" s="64"/>
      <c r="H181" s="64"/>
      <c r="I181" s="64"/>
      <c r="J181" s="64">
        <f t="shared" si="45"/>
        <v>0</v>
      </c>
      <c r="K181" s="63">
        <f>J181/$J$25</f>
        <v>0</v>
      </c>
    </row>
    <row r="182" spans="1:11" x14ac:dyDescent="0.2">
      <c r="A182" s="74">
        <v>2</v>
      </c>
      <c r="B182" s="73">
        <v>2</v>
      </c>
      <c r="C182" s="73">
        <v>8</v>
      </c>
      <c r="D182" s="73">
        <v>2</v>
      </c>
      <c r="E182" s="73"/>
      <c r="F182" s="74" t="s">
        <v>378</v>
      </c>
      <c r="G182" s="70">
        <f>SUM(G183)</f>
        <v>0</v>
      </c>
      <c r="H182" s="70">
        <f t="shared" ref="H182:I182" si="70">SUM(H183)</f>
        <v>5728.44</v>
      </c>
      <c r="I182" s="70">
        <f t="shared" si="70"/>
        <v>0</v>
      </c>
      <c r="J182" s="70">
        <f t="shared" si="45"/>
        <v>5728.44</v>
      </c>
      <c r="K182" s="69"/>
    </row>
    <row r="183" spans="1:11" x14ac:dyDescent="0.2">
      <c r="A183" s="68">
        <v>2</v>
      </c>
      <c r="B183" s="67">
        <v>2</v>
      </c>
      <c r="C183" s="67">
        <v>8</v>
      </c>
      <c r="D183" s="67">
        <v>2</v>
      </c>
      <c r="E183" s="82" t="s">
        <v>178</v>
      </c>
      <c r="F183" s="68" t="s">
        <v>378</v>
      </c>
      <c r="G183" s="64"/>
      <c r="H183" s="64">
        <f>5378.44+350</f>
        <v>5728.44</v>
      </c>
      <c r="I183" s="64"/>
      <c r="J183" s="64">
        <f t="shared" si="45"/>
        <v>5728.44</v>
      </c>
      <c r="K183" s="63">
        <f>J183/$J$25</f>
        <v>5.5360367864458681E-5</v>
      </c>
    </row>
    <row r="184" spans="1:11" x14ac:dyDescent="0.2">
      <c r="A184" s="74">
        <v>2</v>
      </c>
      <c r="B184" s="73">
        <v>2</v>
      </c>
      <c r="C184" s="73">
        <v>8</v>
      </c>
      <c r="D184" s="73">
        <v>3</v>
      </c>
      <c r="E184" s="73"/>
      <c r="F184" s="74" t="s">
        <v>377</v>
      </c>
      <c r="G184" s="70">
        <f>SUM(G185)</f>
        <v>0</v>
      </c>
      <c r="H184" s="70">
        <f t="shared" ref="H184:I184" si="71">SUM(H185)</f>
        <v>0</v>
      </c>
      <c r="I184" s="70">
        <f t="shared" si="71"/>
        <v>0</v>
      </c>
      <c r="J184" s="70">
        <f t="shared" si="45"/>
        <v>0</v>
      </c>
      <c r="K184" s="69"/>
    </row>
    <row r="185" spans="1:11" x14ac:dyDescent="0.2">
      <c r="A185" s="68">
        <v>2</v>
      </c>
      <c r="B185" s="67">
        <v>2</v>
      </c>
      <c r="C185" s="67">
        <v>8</v>
      </c>
      <c r="D185" s="67">
        <v>3</v>
      </c>
      <c r="E185" s="82" t="s">
        <v>178</v>
      </c>
      <c r="F185" s="68" t="s">
        <v>377</v>
      </c>
      <c r="G185" s="64"/>
      <c r="H185" s="64"/>
      <c r="I185" s="64"/>
      <c r="J185" s="64">
        <f t="shared" si="45"/>
        <v>0</v>
      </c>
      <c r="K185" s="63">
        <f>J185/$J$25</f>
        <v>0</v>
      </c>
    </row>
    <row r="186" spans="1:11" x14ac:dyDescent="0.2">
      <c r="A186" s="74">
        <v>2</v>
      </c>
      <c r="B186" s="73">
        <v>2</v>
      </c>
      <c r="C186" s="73">
        <v>8</v>
      </c>
      <c r="D186" s="73">
        <v>4</v>
      </c>
      <c r="E186" s="73"/>
      <c r="F186" s="74" t="s">
        <v>376</v>
      </c>
      <c r="G186" s="70">
        <f>SUM(G187)</f>
        <v>0</v>
      </c>
      <c r="H186" s="70">
        <f t="shared" ref="H186:I186" si="72">SUM(H187)</f>
        <v>5000</v>
      </c>
      <c r="I186" s="70">
        <f t="shared" si="72"/>
        <v>0</v>
      </c>
      <c r="J186" s="70">
        <f t="shared" ref="J186:J244" si="73">SUM(G186:I186)</f>
        <v>5000</v>
      </c>
      <c r="K186" s="69"/>
    </row>
    <row r="187" spans="1:11" x14ac:dyDescent="0.2">
      <c r="A187" s="68">
        <v>2</v>
      </c>
      <c r="B187" s="67">
        <v>2</v>
      </c>
      <c r="C187" s="67">
        <v>8</v>
      </c>
      <c r="D187" s="67">
        <v>4</v>
      </c>
      <c r="E187" s="82" t="s">
        <v>178</v>
      </c>
      <c r="F187" s="68" t="s">
        <v>376</v>
      </c>
      <c r="G187" s="64"/>
      <c r="H187" s="64">
        <v>5000</v>
      </c>
      <c r="I187" s="64"/>
      <c r="J187" s="64">
        <f t="shared" si="73"/>
        <v>5000</v>
      </c>
      <c r="K187" s="63">
        <f>J187/$J$25</f>
        <v>4.8320631676738069E-5</v>
      </c>
    </row>
    <row r="188" spans="1:11" x14ac:dyDescent="0.2">
      <c r="A188" s="74">
        <v>2</v>
      </c>
      <c r="B188" s="73">
        <v>2</v>
      </c>
      <c r="C188" s="73">
        <v>8</v>
      </c>
      <c r="D188" s="73">
        <v>5</v>
      </c>
      <c r="E188" s="73"/>
      <c r="F188" s="74" t="s">
        <v>375</v>
      </c>
      <c r="G188" s="70">
        <f>SUM(G189:G191)</f>
        <v>0</v>
      </c>
      <c r="H188" s="70">
        <f t="shared" ref="H188:I188" si="74">SUM(H189:H191)</f>
        <v>350687.74</v>
      </c>
      <c r="I188" s="70">
        <f t="shared" si="74"/>
        <v>0</v>
      </c>
      <c r="J188" s="70">
        <f t="shared" si="73"/>
        <v>350687.74</v>
      </c>
      <c r="K188" s="69"/>
    </row>
    <row r="189" spans="1:11" x14ac:dyDescent="0.2">
      <c r="A189" s="68">
        <v>2</v>
      </c>
      <c r="B189" s="67">
        <v>2</v>
      </c>
      <c r="C189" s="67">
        <v>8</v>
      </c>
      <c r="D189" s="67">
        <v>5</v>
      </c>
      <c r="E189" s="82" t="s">
        <v>178</v>
      </c>
      <c r="F189" s="68" t="s">
        <v>374</v>
      </c>
      <c r="G189" s="64"/>
      <c r="H189" s="64"/>
      <c r="I189" s="64"/>
      <c r="J189" s="64">
        <f t="shared" si="73"/>
        <v>0</v>
      </c>
      <c r="K189" s="63">
        <f t="shared" ref="K189:K191" si="75">J189/$J$25</f>
        <v>0</v>
      </c>
    </row>
    <row r="190" spans="1:11" x14ac:dyDescent="0.2">
      <c r="A190" s="68">
        <v>2</v>
      </c>
      <c r="B190" s="67">
        <v>2</v>
      </c>
      <c r="C190" s="67">
        <v>8</v>
      </c>
      <c r="D190" s="67">
        <v>5</v>
      </c>
      <c r="E190" s="82" t="s">
        <v>182</v>
      </c>
      <c r="F190" s="68" t="s">
        <v>373</v>
      </c>
      <c r="G190" s="64"/>
      <c r="H190" s="64"/>
      <c r="I190" s="64"/>
      <c r="J190" s="64">
        <f t="shared" si="73"/>
        <v>0</v>
      </c>
      <c r="K190" s="63">
        <f t="shared" si="75"/>
        <v>0</v>
      </c>
    </row>
    <row r="191" spans="1:11" x14ac:dyDescent="0.2">
      <c r="A191" s="68">
        <v>2</v>
      </c>
      <c r="B191" s="67">
        <v>2</v>
      </c>
      <c r="C191" s="67">
        <v>8</v>
      </c>
      <c r="D191" s="67">
        <v>5</v>
      </c>
      <c r="E191" s="82" t="s">
        <v>180</v>
      </c>
      <c r="F191" s="68" t="s">
        <v>372</v>
      </c>
      <c r="G191" s="64"/>
      <c r="H191" s="64">
        <v>350687.74</v>
      </c>
      <c r="I191" s="64"/>
      <c r="J191" s="64">
        <f t="shared" si="73"/>
        <v>350687.74</v>
      </c>
      <c r="K191" s="63">
        <f t="shared" si="75"/>
        <v>3.3890906236175369E-3</v>
      </c>
    </row>
    <row r="192" spans="1:11" x14ac:dyDescent="0.2">
      <c r="A192" s="74">
        <v>2</v>
      </c>
      <c r="B192" s="73">
        <v>2</v>
      </c>
      <c r="C192" s="73">
        <v>8</v>
      </c>
      <c r="D192" s="73">
        <v>6</v>
      </c>
      <c r="E192" s="73"/>
      <c r="F192" s="74" t="s">
        <v>371</v>
      </c>
      <c r="G192" s="70">
        <f>SUM(G193:G196)</f>
        <v>0</v>
      </c>
      <c r="H192" s="70">
        <f t="shared" ref="H192:I192" si="76">SUM(H193:H196)</f>
        <v>12084.86</v>
      </c>
      <c r="I192" s="70">
        <f t="shared" si="76"/>
        <v>0</v>
      </c>
      <c r="J192" s="70">
        <f t="shared" si="73"/>
        <v>12084.86</v>
      </c>
      <c r="K192" s="69"/>
    </row>
    <row r="193" spans="1:11" x14ac:dyDescent="0.2">
      <c r="A193" s="68">
        <v>2</v>
      </c>
      <c r="B193" s="67">
        <v>2</v>
      </c>
      <c r="C193" s="67">
        <v>8</v>
      </c>
      <c r="D193" s="67">
        <v>6</v>
      </c>
      <c r="E193" s="82" t="s">
        <v>178</v>
      </c>
      <c r="F193" s="68" t="s">
        <v>370</v>
      </c>
      <c r="G193" s="64"/>
      <c r="H193" s="64"/>
      <c r="I193" s="64"/>
      <c r="J193" s="64">
        <f t="shared" si="73"/>
        <v>0</v>
      </c>
      <c r="K193" s="63">
        <f t="shared" ref="K193:K196" si="77">J193/$J$25</f>
        <v>0</v>
      </c>
    </row>
    <row r="194" spans="1:11" x14ac:dyDescent="0.2">
      <c r="A194" s="68">
        <v>2</v>
      </c>
      <c r="B194" s="67">
        <v>2</v>
      </c>
      <c r="C194" s="67">
        <v>8</v>
      </c>
      <c r="D194" s="67">
        <v>6</v>
      </c>
      <c r="E194" s="82" t="s">
        <v>182</v>
      </c>
      <c r="F194" s="68" t="s">
        <v>369</v>
      </c>
      <c r="G194" s="64"/>
      <c r="H194" s="64">
        <v>12084.86</v>
      </c>
      <c r="I194" s="64"/>
      <c r="J194" s="64">
        <f t="shared" si="73"/>
        <v>12084.86</v>
      </c>
      <c r="K194" s="63">
        <f t="shared" si="77"/>
        <v>1.1678961378498898E-4</v>
      </c>
    </row>
    <row r="195" spans="1:11" x14ac:dyDescent="0.2">
      <c r="A195" s="68">
        <v>2</v>
      </c>
      <c r="B195" s="67">
        <v>2</v>
      </c>
      <c r="C195" s="67">
        <v>8</v>
      </c>
      <c r="D195" s="67">
        <v>6</v>
      </c>
      <c r="E195" s="82" t="s">
        <v>180</v>
      </c>
      <c r="F195" s="68" t="s">
        <v>368</v>
      </c>
      <c r="G195" s="64"/>
      <c r="H195" s="64"/>
      <c r="I195" s="64"/>
      <c r="J195" s="64">
        <f t="shared" si="73"/>
        <v>0</v>
      </c>
      <c r="K195" s="63">
        <f t="shared" si="77"/>
        <v>0</v>
      </c>
    </row>
    <row r="196" spans="1:11" x14ac:dyDescent="0.2">
      <c r="A196" s="68">
        <v>2</v>
      </c>
      <c r="B196" s="67">
        <v>2</v>
      </c>
      <c r="C196" s="67">
        <v>8</v>
      </c>
      <c r="D196" s="67">
        <v>6</v>
      </c>
      <c r="E196" s="82" t="s">
        <v>260</v>
      </c>
      <c r="F196" s="68" t="s">
        <v>367</v>
      </c>
      <c r="G196" s="64"/>
      <c r="H196" s="64"/>
      <c r="I196" s="64"/>
      <c r="J196" s="64">
        <f t="shared" si="73"/>
        <v>0</v>
      </c>
      <c r="K196" s="63">
        <f t="shared" si="77"/>
        <v>0</v>
      </c>
    </row>
    <row r="197" spans="1:11" x14ac:dyDescent="0.2">
      <c r="A197" s="74">
        <v>2</v>
      </c>
      <c r="B197" s="73">
        <v>2</v>
      </c>
      <c r="C197" s="73">
        <v>8</v>
      </c>
      <c r="D197" s="73">
        <v>7</v>
      </c>
      <c r="E197" s="73"/>
      <c r="F197" s="74" t="s">
        <v>366</v>
      </c>
      <c r="G197" s="70">
        <f>SUM(G198:G203)</f>
        <v>0</v>
      </c>
      <c r="H197" s="70">
        <f t="shared" ref="H197:I197" si="78">SUM(H198:H203)</f>
        <v>742220</v>
      </c>
      <c r="I197" s="70">
        <f t="shared" si="78"/>
        <v>0</v>
      </c>
      <c r="J197" s="70">
        <f t="shared" si="73"/>
        <v>742220</v>
      </c>
      <c r="K197" s="69"/>
    </row>
    <row r="198" spans="1:11" x14ac:dyDescent="0.2">
      <c r="A198" s="68">
        <v>2</v>
      </c>
      <c r="B198" s="67">
        <v>2</v>
      </c>
      <c r="C198" s="67">
        <v>8</v>
      </c>
      <c r="D198" s="67">
        <v>7</v>
      </c>
      <c r="E198" s="82" t="s">
        <v>178</v>
      </c>
      <c r="F198" s="66" t="s">
        <v>365</v>
      </c>
      <c r="G198" s="64"/>
      <c r="H198" s="64"/>
      <c r="I198" s="64"/>
      <c r="J198" s="64">
        <f t="shared" si="73"/>
        <v>0</v>
      </c>
      <c r="K198" s="63">
        <f t="shared" ref="K198:K203" si="79">J198/$J$25</f>
        <v>0</v>
      </c>
    </row>
    <row r="199" spans="1:11" x14ac:dyDescent="0.2">
      <c r="A199" s="68">
        <v>2</v>
      </c>
      <c r="B199" s="67">
        <v>2</v>
      </c>
      <c r="C199" s="67">
        <v>8</v>
      </c>
      <c r="D199" s="67">
        <v>7</v>
      </c>
      <c r="E199" s="82" t="s">
        <v>182</v>
      </c>
      <c r="F199" s="66" t="s">
        <v>364</v>
      </c>
      <c r="G199" s="64"/>
      <c r="H199" s="64">
        <v>364620</v>
      </c>
      <c r="I199" s="64"/>
      <c r="J199" s="64">
        <f t="shared" si="73"/>
        <v>364620</v>
      </c>
      <c r="K199" s="63">
        <f t="shared" si="79"/>
        <v>3.5237337443944469E-3</v>
      </c>
    </row>
    <row r="200" spans="1:11" x14ac:dyDescent="0.2">
      <c r="A200" s="68">
        <v>2</v>
      </c>
      <c r="B200" s="67">
        <v>2</v>
      </c>
      <c r="C200" s="67">
        <v>8</v>
      </c>
      <c r="D200" s="67">
        <v>7</v>
      </c>
      <c r="E200" s="82" t="s">
        <v>180</v>
      </c>
      <c r="F200" s="66" t="s">
        <v>363</v>
      </c>
      <c r="G200" s="64"/>
      <c r="H200" s="64"/>
      <c r="I200" s="64"/>
      <c r="J200" s="64">
        <f t="shared" si="73"/>
        <v>0</v>
      </c>
      <c r="K200" s="63">
        <f t="shared" si="79"/>
        <v>0</v>
      </c>
    </row>
    <row r="201" spans="1:11" x14ac:dyDescent="0.2">
      <c r="A201" s="68">
        <v>2</v>
      </c>
      <c r="B201" s="67">
        <v>2</v>
      </c>
      <c r="C201" s="67">
        <v>8</v>
      </c>
      <c r="D201" s="67">
        <v>7</v>
      </c>
      <c r="E201" s="82" t="s">
        <v>260</v>
      </c>
      <c r="F201" s="66" t="s">
        <v>362</v>
      </c>
      <c r="G201" s="64"/>
      <c r="H201" s="64"/>
      <c r="I201" s="64"/>
      <c r="J201" s="64">
        <f t="shared" si="73"/>
        <v>0</v>
      </c>
      <c r="K201" s="63">
        <f t="shared" si="79"/>
        <v>0</v>
      </c>
    </row>
    <row r="202" spans="1:11" x14ac:dyDescent="0.2">
      <c r="A202" s="68">
        <v>2</v>
      </c>
      <c r="B202" s="67">
        <v>2</v>
      </c>
      <c r="C202" s="67">
        <v>8</v>
      </c>
      <c r="D202" s="67">
        <v>7</v>
      </c>
      <c r="E202" s="82" t="s">
        <v>258</v>
      </c>
      <c r="F202" s="66" t="s">
        <v>361</v>
      </c>
      <c r="G202" s="64"/>
      <c r="H202" s="64"/>
      <c r="I202" s="64"/>
      <c r="J202" s="64">
        <f t="shared" si="73"/>
        <v>0</v>
      </c>
      <c r="K202" s="63">
        <f t="shared" si="79"/>
        <v>0</v>
      </c>
    </row>
    <row r="203" spans="1:11" x14ac:dyDescent="0.2">
      <c r="A203" s="68">
        <v>2</v>
      </c>
      <c r="B203" s="67">
        <v>2</v>
      </c>
      <c r="C203" s="67">
        <v>8</v>
      </c>
      <c r="D203" s="67">
        <v>7</v>
      </c>
      <c r="E203" s="82" t="s">
        <v>282</v>
      </c>
      <c r="F203" s="66" t="s">
        <v>360</v>
      </c>
      <c r="G203" s="64"/>
      <c r="H203" s="64">
        <v>377600</v>
      </c>
      <c r="I203" s="64"/>
      <c r="J203" s="64">
        <f t="shared" si="73"/>
        <v>377600</v>
      </c>
      <c r="K203" s="63">
        <f t="shared" si="79"/>
        <v>3.649174104227259E-3</v>
      </c>
    </row>
    <row r="204" spans="1:11" x14ac:dyDescent="0.2">
      <c r="A204" s="74">
        <v>2</v>
      </c>
      <c r="B204" s="73">
        <v>2</v>
      </c>
      <c r="C204" s="73">
        <v>8</v>
      </c>
      <c r="D204" s="73">
        <v>8</v>
      </c>
      <c r="E204" s="73"/>
      <c r="F204" s="71" t="s">
        <v>359</v>
      </c>
      <c r="G204" s="70">
        <f>SUM(G205:G207)</f>
        <v>0</v>
      </c>
      <c r="H204" s="70">
        <f t="shared" ref="H204:I204" si="80">SUM(H205:H207)</f>
        <v>594720</v>
      </c>
      <c r="I204" s="70">
        <f t="shared" si="80"/>
        <v>0</v>
      </c>
      <c r="J204" s="70">
        <f t="shared" si="73"/>
        <v>594720</v>
      </c>
      <c r="K204" s="69"/>
    </row>
    <row r="205" spans="1:11" x14ac:dyDescent="0.2">
      <c r="A205" s="68">
        <v>2</v>
      </c>
      <c r="B205" s="67">
        <v>2</v>
      </c>
      <c r="C205" s="67">
        <v>8</v>
      </c>
      <c r="D205" s="67">
        <v>8</v>
      </c>
      <c r="E205" s="82" t="s">
        <v>178</v>
      </c>
      <c r="F205" s="66" t="s">
        <v>358</v>
      </c>
      <c r="G205" s="64"/>
      <c r="H205" s="64">
        <v>594720</v>
      </c>
      <c r="I205" s="64"/>
      <c r="J205" s="64">
        <f t="shared" si="73"/>
        <v>594720</v>
      </c>
      <c r="K205" s="63">
        <f t="shared" ref="K205:K207" si="81">J205/$J$25</f>
        <v>5.7474492141579327E-3</v>
      </c>
    </row>
    <row r="206" spans="1:11" x14ac:dyDescent="0.2">
      <c r="A206" s="68">
        <v>2</v>
      </c>
      <c r="B206" s="67">
        <v>2</v>
      </c>
      <c r="C206" s="67">
        <v>8</v>
      </c>
      <c r="D206" s="67">
        <v>8</v>
      </c>
      <c r="E206" s="82" t="s">
        <v>182</v>
      </c>
      <c r="F206" s="66" t="s">
        <v>357</v>
      </c>
      <c r="G206" s="64"/>
      <c r="H206" s="64"/>
      <c r="I206" s="64"/>
      <c r="J206" s="64">
        <f t="shared" si="73"/>
        <v>0</v>
      </c>
      <c r="K206" s="63">
        <f t="shared" si="81"/>
        <v>0</v>
      </c>
    </row>
    <row r="207" spans="1:11" x14ac:dyDescent="0.2">
      <c r="A207" s="68">
        <v>2</v>
      </c>
      <c r="B207" s="67">
        <v>2</v>
      </c>
      <c r="C207" s="67">
        <v>8</v>
      </c>
      <c r="D207" s="67">
        <v>8</v>
      </c>
      <c r="E207" s="82" t="s">
        <v>180</v>
      </c>
      <c r="F207" s="66" t="s">
        <v>356</v>
      </c>
      <c r="G207" s="64"/>
      <c r="H207" s="64"/>
      <c r="I207" s="64"/>
      <c r="J207" s="64">
        <f t="shared" si="73"/>
        <v>0</v>
      </c>
      <c r="K207" s="63">
        <f t="shared" si="81"/>
        <v>0</v>
      </c>
    </row>
    <row r="208" spans="1:11" x14ac:dyDescent="0.2">
      <c r="A208" s="85">
        <v>2</v>
      </c>
      <c r="B208" s="80">
        <v>2</v>
      </c>
      <c r="C208" s="80">
        <v>9</v>
      </c>
      <c r="D208" s="80"/>
      <c r="E208" s="80"/>
      <c r="F208" s="85" t="s">
        <v>355</v>
      </c>
      <c r="G208" s="78">
        <f>+G209</f>
        <v>0</v>
      </c>
      <c r="H208" s="78">
        <f t="shared" ref="H208:I209" si="82">+H209</f>
        <v>1320298.3999999999</v>
      </c>
      <c r="I208" s="78">
        <f>+I209</f>
        <v>0</v>
      </c>
      <c r="J208" s="78">
        <f>SUM(G208:I208)</f>
        <v>1320298.3999999999</v>
      </c>
      <c r="K208" s="77"/>
    </row>
    <row r="209" spans="1:12" x14ac:dyDescent="0.2">
      <c r="A209" s="74">
        <v>2</v>
      </c>
      <c r="B209" s="73">
        <v>2</v>
      </c>
      <c r="C209" s="73">
        <v>9</v>
      </c>
      <c r="D209" s="73">
        <v>2</v>
      </c>
      <c r="E209" s="73"/>
      <c r="F209" s="74" t="s">
        <v>354</v>
      </c>
      <c r="G209" s="70">
        <f>+G210</f>
        <v>0</v>
      </c>
      <c r="H209" s="70">
        <f t="shared" si="82"/>
        <v>1320298.3999999999</v>
      </c>
      <c r="I209" s="70">
        <f t="shared" si="82"/>
        <v>0</v>
      </c>
      <c r="J209" s="70">
        <f>SUM(G209:I209)</f>
        <v>1320298.3999999999</v>
      </c>
      <c r="K209" s="69"/>
    </row>
    <row r="210" spans="1:12" x14ac:dyDescent="0.2">
      <c r="A210" s="68">
        <v>2</v>
      </c>
      <c r="B210" s="67">
        <v>2</v>
      </c>
      <c r="C210" s="67">
        <v>9</v>
      </c>
      <c r="D210" s="67">
        <v>2</v>
      </c>
      <c r="E210" s="82" t="s">
        <v>178</v>
      </c>
      <c r="F210" s="66" t="s">
        <v>353</v>
      </c>
      <c r="G210" s="64"/>
      <c r="H210" s="64">
        <f>13000+[1]TRANSFERENCIA!$E$10</f>
        <v>1320298.3999999999</v>
      </c>
      <c r="I210" s="64"/>
      <c r="J210" s="64">
        <f>SUM(G210:I210)</f>
        <v>1320298.3999999999</v>
      </c>
      <c r="K210" s="63">
        <f>J210/$J$25</f>
        <v>1.2759530537957317E-2</v>
      </c>
      <c r="L210" s="179"/>
    </row>
    <row r="211" spans="1:12" x14ac:dyDescent="0.2">
      <c r="A211" s="81">
        <v>2</v>
      </c>
      <c r="B211" s="80">
        <v>3</v>
      </c>
      <c r="C211" s="80"/>
      <c r="D211" s="80"/>
      <c r="E211" s="80"/>
      <c r="F211" s="85" t="s">
        <v>352</v>
      </c>
      <c r="G211" s="78">
        <f>G212+G224+G231+G244+G249+G260+G285+G302+G307</f>
        <v>0</v>
      </c>
      <c r="H211" s="78">
        <f>H212+H224+H231+H244+H249+H260+H285+H302+H307</f>
        <v>28315001.500000011</v>
      </c>
      <c r="I211" s="78">
        <f>I212+I224+I231+I244+I249+I260+I285+I302+I307</f>
        <v>0</v>
      </c>
      <c r="J211" s="78">
        <f>SUM(G211:I211)</f>
        <v>28315001.500000011</v>
      </c>
      <c r="K211" s="77">
        <f>J211/$J$25</f>
        <v>0.2736397516815573</v>
      </c>
    </row>
    <row r="212" spans="1:12" x14ac:dyDescent="0.2">
      <c r="A212" s="81">
        <v>2</v>
      </c>
      <c r="B212" s="80">
        <v>3</v>
      </c>
      <c r="C212" s="80">
        <v>1</v>
      </c>
      <c r="D212" s="80"/>
      <c r="E212" s="80"/>
      <c r="F212" s="85" t="s">
        <v>351</v>
      </c>
      <c r="G212" s="78">
        <f>+G213+G216+G218+G222</f>
        <v>0</v>
      </c>
      <c r="H212" s="78">
        <f t="shared" ref="H212:I212" si="83">+H213+H216+H218+H222</f>
        <v>827235.39</v>
      </c>
      <c r="I212" s="78">
        <f t="shared" si="83"/>
        <v>0</v>
      </c>
      <c r="J212" s="78">
        <f t="shared" si="73"/>
        <v>827235.39</v>
      </c>
      <c r="K212" s="77"/>
    </row>
    <row r="213" spans="1:12" x14ac:dyDescent="0.2">
      <c r="A213" s="76">
        <v>2</v>
      </c>
      <c r="B213" s="73">
        <v>3</v>
      </c>
      <c r="C213" s="73">
        <v>1</v>
      </c>
      <c r="D213" s="73">
        <v>1</v>
      </c>
      <c r="E213" s="72"/>
      <c r="F213" s="74" t="s">
        <v>350</v>
      </c>
      <c r="G213" s="70">
        <f>SUM(G214:G215)</f>
        <v>0</v>
      </c>
      <c r="H213" s="194">
        <f t="shared" ref="H213:I213" si="84">SUM(H214:H215)</f>
        <v>825435.39</v>
      </c>
      <c r="I213" s="70">
        <f t="shared" si="84"/>
        <v>0</v>
      </c>
      <c r="J213" s="70">
        <f t="shared" si="73"/>
        <v>825435.39</v>
      </c>
      <c r="K213" s="69"/>
    </row>
    <row r="214" spans="1:12" x14ac:dyDescent="0.2">
      <c r="A214" s="75">
        <v>2</v>
      </c>
      <c r="B214" s="67">
        <v>3</v>
      </c>
      <c r="C214" s="67">
        <v>1</v>
      </c>
      <c r="D214" s="67">
        <v>1</v>
      </c>
      <c r="E214" s="82" t="s">
        <v>178</v>
      </c>
      <c r="F214" s="68" t="s">
        <v>350</v>
      </c>
      <c r="G214" s="65"/>
      <c r="H214" s="64">
        <v>825435.39</v>
      </c>
      <c r="I214" s="64"/>
      <c r="J214" s="64">
        <f>SUM(G214:I214)</f>
        <v>825435.39</v>
      </c>
      <c r="K214" s="63">
        <f t="shared" ref="K214:K215" si="85">J214/$J$25</f>
        <v>7.9771118906269284E-3</v>
      </c>
    </row>
    <row r="215" spans="1:12" x14ac:dyDescent="0.2">
      <c r="A215" s="75">
        <v>2</v>
      </c>
      <c r="B215" s="67">
        <v>3</v>
      </c>
      <c r="C215" s="67">
        <v>1</v>
      </c>
      <c r="D215" s="67">
        <v>1</v>
      </c>
      <c r="E215" s="82" t="s">
        <v>182</v>
      </c>
      <c r="F215" s="68" t="s">
        <v>349</v>
      </c>
      <c r="G215" s="65"/>
      <c r="H215" s="65"/>
      <c r="I215" s="65"/>
      <c r="J215" s="64">
        <f t="shared" si="73"/>
        <v>0</v>
      </c>
      <c r="K215" s="63">
        <f t="shared" si="85"/>
        <v>0</v>
      </c>
    </row>
    <row r="216" spans="1:12" x14ac:dyDescent="0.2">
      <c r="A216" s="76">
        <v>2</v>
      </c>
      <c r="B216" s="73">
        <v>3</v>
      </c>
      <c r="C216" s="73">
        <v>1</v>
      </c>
      <c r="D216" s="73">
        <v>2</v>
      </c>
      <c r="E216" s="72"/>
      <c r="F216" s="74" t="s">
        <v>348</v>
      </c>
      <c r="G216" s="70">
        <f>SUM(G217)</f>
        <v>0</v>
      </c>
      <c r="H216" s="70">
        <f t="shared" ref="H216:I216" si="86">SUM(H217)</f>
        <v>0</v>
      </c>
      <c r="I216" s="70">
        <f t="shared" si="86"/>
        <v>0</v>
      </c>
      <c r="J216" s="70">
        <f t="shared" si="73"/>
        <v>0</v>
      </c>
      <c r="K216" s="69"/>
    </row>
    <row r="217" spans="1:12" x14ac:dyDescent="0.2">
      <c r="A217" s="75">
        <v>2</v>
      </c>
      <c r="B217" s="67">
        <v>3</v>
      </c>
      <c r="C217" s="67">
        <v>1</v>
      </c>
      <c r="D217" s="67">
        <v>2</v>
      </c>
      <c r="E217" s="82" t="s">
        <v>178</v>
      </c>
      <c r="F217" s="68" t="s">
        <v>348</v>
      </c>
      <c r="G217" s="65"/>
      <c r="H217" s="65"/>
      <c r="I217" s="65"/>
      <c r="J217" s="64">
        <f t="shared" si="73"/>
        <v>0</v>
      </c>
      <c r="K217" s="63">
        <f>J217/$J$25</f>
        <v>0</v>
      </c>
    </row>
    <row r="218" spans="1:12" x14ac:dyDescent="0.2">
      <c r="A218" s="76">
        <v>2</v>
      </c>
      <c r="B218" s="73">
        <v>3</v>
      </c>
      <c r="C218" s="73">
        <v>1</v>
      </c>
      <c r="D218" s="73">
        <v>3</v>
      </c>
      <c r="E218" s="73"/>
      <c r="F218" s="74" t="s">
        <v>347</v>
      </c>
      <c r="G218" s="70">
        <f>SUM(G219:G221)</f>
        <v>0</v>
      </c>
      <c r="H218" s="70">
        <f t="shared" ref="H218:I218" si="87">SUM(H219:H221)</f>
        <v>0</v>
      </c>
      <c r="I218" s="70">
        <f t="shared" si="87"/>
        <v>0</v>
      </c>
      <c r="J218" s="70">
        <f t="shared" si="73"/>
        <v>0</v>
      </c>
      <c r="K218" s="69"/>
    </row>
    <row r="219" spans="1:12" x14ac:dyDescent="0.2">
      <c r="A219" s="75">
        <v>2</v>
      </c>
      <c r="B219" s="67">
        <v>3</v>
      </c>
      <c r="C219" s="67">
        <v>1</v>
      </c>
      <c r="D219" s="67">
        <v>3</v>
      </c>
      <c r="E219" s="82" t="s">
        <v>178</v>
      </c>
      <c r="F219" s="68" t="s">
        <v>346</v>
      </c>
      <c r="G219" s="65"/>
      <c r="H219" s="65"/>
      <c r="I219" s="65"/>
      <c r="J219" s="64">
        <f t="shared" si="73"/>
        <v>0</v>
      </c>
      <c r="K219" s="63">
        <f t="shared" ref="K219:K221" si="88">J219/$J$25</f>
        <v>0</v>
      </c>
    </row>
    <row r="220" spans="1:12" x14ac:dyDescent="0.2">
      <c r="A220" s="75">
        <v>2</v>
      </c>
      <c r="B220" s="67">
        <v>3</v>
      </c>
      <c r="C220" s="67">
        <v>1</v>
      </c>
      <c r="D220" s="67">
        <v>3</v>
      </c>
      <c r="E220" s="82" t="s">
        <v>182</v>
      </c>
      <c r="F220" s="68" t="s">
        <v>345</v>
      </c>
      <c r="G220" s="65"/>
      <c r="H220" s="65"/>
      <c r="I220" s="65"/>
      <c r="J220" s="64">
        <f t="shared" si="73"/>
        <v>0</v>
      </c>
      <c r="K220" s="63">
        <f t="shared" si="88"/>
        <v>0</v>
      </c>
    </row>
    <row r="221" spans="1:12" x14ac:dyDescent="0.2">
      <c r="A221" s="75">
        <v>2</v>
      </c>
      <c r="B221" s="67">
        <v>3</v>
      </c>
      <c r="C221" s="67">
        <v>1</v>
      </c>
      <c r="D221" s="67">
        <v>3</v>
      </c>
      <c r="E221" s="82" t="s">
        <v>180</v>
      </c>
      <c r="F221" s="68" t="s">
        <v>344</v>
      </c>
      <c r="G221" s="65"/>
      <c r="H221" s="65"/>
      <c r="I221" s="65"/>
      <c r="J221" s="64">
        <f t="shared" si="73"/>
        <v>0</v>
      </c>
      <c r="K221" s="63">
        <f t="shared" si="88"/>
        <v>0</v>
      </c>
    </row>
    <row r="222" spans="1:12" x14ac:dyDescent="0.2">
      <c r="A222" s="76">
        <v>2</v>
      </c>
      <c r="B222" s="73">
        <v>3</v>
      </c>
      <c r="C222" s="73">
        <v>1</v>
      </c>
      <c r="D222" s="73">
        <v>4</v>
      </c>
      <c r="E222" s="73"/>
      <c r="F222" s="74" t="s">
        <v>343</v>
      </c>
      <c r="G222" s="70">
        <f>SUM(G223)</f>
        <v>0</v>
      </c>
      <c r="H222" s="70">
        <f t="shared" ref="H222:I222" si="89">SUM(H223)</f>
        <v>1800</v>
      </c>
      <c r="I222" s="70">
        <f t="shared" si="89"/>
        <v>0</v>
      </c>
      <c r="J222" s="70">
        <f t="shared" si="73"/>
        <v>1800</v>
      </c>
      <c r="K222" s="69"/>
    </row>
    <row r="223" spans="1:12" x14ac:dyDescent="0.2">
      <c r="A223" s="75">
        <v>2</v>
      </c>
      <c r="B223" s="67">
        <v>3</v>
      </c>
      <c r="C223" s="67">
        <v>1</v>
      </c>
      <c r="D223" s="67">
        <v>4</v>
      </c>
      <c r="E223" s="82" t="s">
        <v>178</v>
      </c>
      <c r="F223" s="68" t="s">
        <v>343</v>
      </c>
      <c r="G223" s="64"/>
      <c r="H223" s="64">
        <v>1800</v>
      </c>
      <c r="I223" s="64"/>
      <c r="J223" s="64">
        <f t="shared" si="73"/>
        <v>1800</v>
      </c>
      <c r="K223" s="63">
        <f>J223/$J$25</f>
        <v>1.7395427403625704E-5</v>
      </c>
    </row>
    <row r="224" spans="1:12" x14ac:dyDescent="0.2">
      <c r="A224" s="81">
        <v>2</v>
      </c>
      <c r="B224" s="80">
        <v>3</v>
      </c>
      <c r="C224" s="80">
        <v>2</v>
      </c>
      <c r="D224" s="80"/>
      <c r="E224" s="84"/>
      <c r="F224" s="85" t="s">
        <v>342</v>
      </c>
      <c r="G224" s="78">
        <f>+G225+G227+G229</f>
        <v>0</v>
      </c>
      <c r="H224" s="78">
        <f t="shared" ref="H224:I224" si="90">+H225+H227+H229</f>
        <v>49949.4</v>
      </c>
      <c r="I224" s="78">
        <f t="shared" si="90"/>
        <v>0</v>
      </c>
      <c r="J224" s="78">
        <f t="shared" si="73"/>
        <v>49949.4</v>
      </c>
      <c r="K224" s="77"/>
    </row>
    <row r="225" spans="1:11" x14ac:dyDescent="0.2">
      <c r="A225" s="76">
        <v>2</v>
      </c>
      <c r="B225" s="73">
        <v>3</v>
      </c>
      <c r="C225" s="73">
        <v>2</v>
      </c>
      <c r="D225" s="73">
        <v>1</v>
      </c>
      <c r="E225" s="73"/>
      <c r="F225" s="74" t="s">
        <v>341</v>
      </c>
      <c r="G225" s="70">
        <f>SUM(G226)</f>
        <v>0</v>
      </c>
      <c r="H225" s="70">
        <f t="shared" ref="H225:I225" si="91">SUM(H226)</f>
        <v>49949.4</v>
      </c>
      <c r="I225" s="70">
        <f t="shared" si="91"/>
        <v>0</v>
      </c>
      <c r="J225" s="70">
        <f>SUM(G225:I225)</f>
        <v>49949.4</v>
      </c>
      <c r="K225" s="69"/>
    </row>
    <row r="226" spans="1:11" x14ac:dyDescent="0.2">
      <c r="A226" s="75">
        <v>2</v>
      </c>
      <c r="B226" s="67">
        <v>3</v>
      </c>
      <c r="C226" s="67">
        <v>2</v>
      </c>
      <c r="D226" s="67">
        <v>1</v>
      </c>
      <c r="E226" s="82" t="s">
        <v>178</v>
      </c>
      <c r="F226" s="68" t="s">
        <v>341</v>
      </c>
      <c r="G226" s="64"/>
      <c r="H226" s="64">
        <v>49949.4</v>
      </c>
      <c r="I226" s="64"/>
      <c r="J226" s="64">
        <f t="shared" si="73"/>
        <v>49949.4</v>
      </c>
      <c r="K226" s="63">
        <f>J226/$J$25</f>
        <v>4.8271731197481211E-4</v>
      </c>
    </row>
    <row r="227" spans="1:11" x14ac:dyDescent="0.2">
      <c r="A227" s="76">
        <v>2</v>
      </c>
      <c r="B227" s="73">
        <v>3</v>
      </c>
      <c r="C227" s="73">
        <v>2</v>
      </c>
      <c r="D227" s="73">
        <v>2</v>
      </c>
      <c r="E227" s="73"/>
      <c r="F227" s="74" t="s">
        <v>340</v>
      </c>
      <c r="G227" s="70">
        <f>SUM(G228)</f>
        <v>0</v>
      </c>
      <c r="H227" s="70">
        <f t="shared" ref="H227:I227" si="92">SUM(H228)</f>
        <v>0</v>
      </c>
      <c r="I227" s="70">
        <f t="shared" si="92"/>
        <v>0</v>
      </c>
      <c r="J227" s="70">
        <f t="shared" si="73"/>
        <v>0</v>
      </c>
      <c r="K227" s="69"/>
    </row>
    <row r="228" spans="1:11" x14ac:dyDescent="0.2">
      <c r="A228" s="75">
        <v>2</v>
      </c>
      <c r="B228" s="67">
        <v>3</v>
      </c>
      <c r="C228" s="67">
        <v>2</v>
      </c>
      <c r="D228" s="67">
        <v>2</v>
      </c>
      <c r="E228" s="82" t="s">
        <v>178</v>
      </c>
      <c r="F228" s="68" t="s">
        <v>340</v>
      </c>
      <c r="G228" s="65"/>
      <c r="H228" s="64"/>
      <c r="I228" s="65"/>
      <c r="J228" s="64">
        <f t="shared" si="73"/>
        <v>0</v>
      </c>
      <c r="K228" s="63">
        <f>J228/$J$25</f>
        <v>0</v>
      </c>
    </row>
    <row r="229" spans="1:11" x14ac:dyDescent="0.2">
      <c r="A229" s="76">
        <v>2</v>
      </c>
      <c r="B229" s="73">
        <v>3</v>
      </c>
      <c r="C229" s="73">
        <v>2</v>
      </c>
      <c r="D229" s="73">
        <v>3</v>
      </c>
      <c r="E229" s="73"/>
      <c r="F229" s="74" t="s">
        <v>339</v>
      </c>
      <c r="G229" s="70">
        <f>SUM(G230)</f>
        <v>0</v>
      </c>
      <c r="H229" s="70">
        <f t="shared" ref="H229:I229" si="93">SUM(H230)</f>
        <v>0</v>
      </c>
      <c r="I229" s="70">
        <f t="shared" si="93"/>
        <v>0</v>
      </c>
      <c r="J229" s="70">
        <f t="shared" si="73"/>
        <v>0</v>
      </c>
      <c r="K229" s="69"/>
    </row>
    <row r="230" spans="1:11" x14ac:dyDescent="0.2">
      <c r="A230" s="75">
        <v>2</v>
      </c>
      <c r="B230" s="67">
        <v>3</v>
      </c>
      <c r="C230" s="67">
        <v>2</v>
      </c>
      <c r="D230" s="67">
        <v>3</v>
      </c>
      <c r="E230" s="82" t="s">
        <v>178</v>
      </c>
      <c r="F230" s="68" t="s">
        <v>339</v>
      </c>
      <c r="G230" s="65"/>
      <c r="H230" s="64"/>
      <c r="I230" s="65"/>
      <c r="J230" s="64">
        <f t="shared" si="73"/>
        <v>0</v>
      </c>
      <c r="K230" s="63">
        <f>J230/$J$25</f>
        <v>0</v>
      </c>
    </row>
    <row r="231" spans="1:11" x14ac:dyDescent="0.2">
      <c r="A231" s="81">
        <v>2</v>
      </c>
      <c r="B231" s="80">
        <v>3</v>
      </c>
      <c r="C231" s="80">
        <v>3</v>
      </c>
      <c r="D231" s="80"/>
      <c r="E231" s="84"/>
      <c r="F231" s="85" t="s">
        <v>338</v>
      </c>
      <c r="G231" s="78">
        <f>+G232+G234+G236+G238+G240+G242</f>
        <v>0</v>
      </c>
      <c r="H231" s="78">
        <f t="shared" ref="H231:I231" si="94">+H232+H234+H236+H238+H240+H242</f>
        <v>60594.48</v>
      </c>
      <c r="I231" s="78">
        <f t="shared" si="94"/>
        <v>0</v>
      </c>
      <c r="J231" s="78">
        <f t="shared" si="73"/>
        <v>60594.48</v>
      </c>
      <c r="K231" s="77"/>
    </row>
    <row r="232" spans="1:11" x14ac:dyDescent="0.2">
      <c r="A232" s="76">
        <v>2</v>
      </c>
      <c r="B232" s="73">
        <v>3</v>
      </c>
      <c r="C232" s="73">
        <v>3</v>
      </c>
      <c r="D232" s="73">
        <v>1</v>
      </c>
      <c r="E232" s="73"/>
      <c r="F232" s="74" t="s">
        <v>337</v>
      </c>
      <c r="G232" s="70">
        <f>SUM(G233)</f>
        <v>0</v>
      </c>
      <c r="H232" s="70">
        <f t="shared" ref="H232:I232" si="95">SUM(H233)</f>
        <v>0</v>
      </c>
      <c r="I232" s="70">
        <f t="shared" si="95"/>
        <v>0</v>
      </c>
      <c r="J232" s="70">
        <f>SUM(G232:I232)</f>
        <v>0</v>
      </c>
      <c r="K232" s="69"/>
    </row>
    <row r="233" spans="1:11" x14ac:dyDescent="0.2">
      <c r="A233" s="75">
        <v>2</v>
      </c>
      <c r="B233" s="67">
        <v>3</v>
      </c>
      <c r="C233" s="67">
        <v>3</v>
      </c>
      <c r="D233" s="67">
        <v>1</v>
      </c>
      <c r="E233" s="82" t="s">
        <v>178</v>
      </c>
      <c r="F233" s="68" t="s">
        <v>337</v>
      </c>
      <c r="G233" s="65"/>
      <c r="H233" s="64"/>
      <c r="I233" s="65"/>
      <c r="J233" s="64">
        <f t="shared" si="73"/>
        <v>0</v>
      </c>
      <c r="K233" s="63">
        <f>J233/$J$25</f>
        <v>0</v>
      </c>
    </row>
    <row r="234" spans="1:11" x14ac:dyDescent="0.2">
      <c r="A234" s="76">
        <v>2</v>
      </c>
      <c r="B234" s="73">
        <v>3</v>
      </c>
      <c r="C234" s="73">
        <v>3</v>
      </c>
      <c r="D234" s="73">
        <v>2</v>
      </c>
      <c r="E234" s="73"/>
      <c r="F234" s="74" t="s">
        <v>336</v>
      </c>
      <c r="G234" s="70">
        <f>SUM(G235)</f>
        <v>0</v>
      </c>
      <c r="H234" s="70">
        <f t="shared" ref="H234:I234" si="96">SUM(H235)</f>
        <v>60594.48</v>
      </c>
      <c r="I234" s="70">
        <f t="shared" si="96"/>
        <v>0</v>
      </c>
      <c r="J234" s="70">
        <f t="shared" ref="J234:J304" si="97">SUM(G234:I234)</f>
        <v>60594.48</v>
      </c>
      <c r="K234" s="69"/>
    </row>
    <row r="235" spans="1:11" x14ac:dyDescent="0.2">
      <c r="A235" s="75">
        <v>2</v>
      </c>
      <c r="B235" s="67">
        <v>3</v>
      </c>
      <c r="C235" s="67">
        <v>3</v>
      </c>
      <c r="D235" s="67">
        <v>2</v>
      </c>
      <c r="E235" s="82" t="s">
        <v>178</v>
      </c>
      <c r="F235" s="68" t="s">
        <v>336</v>
      </c>
      <c r="G235" s="64"/>
      <c r="H235" s="64">
        <v>60594.48</v>
      </c>
      <c r="I235" s="64"/>
      <c r="J235" s="64">
        <f t="shared" si="73"/>
        <v>60594.48</v>
      </c>
      <c r="K235" s="63">
        <f>J235/$J$25</f>
        <v>5.855927099446943E-4</v>
      </c>
    </row>
    <row r="236" spans="1:11" x14ac:dyDescent="0.2">
      <c r="A236" s="76">
        <v>2</v>
      </c>
      <c r="B236" s="73">
        <v>3</v>
      </c>
      <c r="C236" s="73">
        <v>3</v>
      </c>
      <c r="D236" s="73">
        <v>3</v>
      </c>
      <c r="E236" s="73"/>
      <c r="F236" s="74" t="s">
        <v>335</v>
      </c>
      <c r="G236" s="70">
        <f>SUM(G237)</f>
        <v>0</v>
      </c>
      <c r="H236" s="70">
        <f t="shared" ref="H236:I236" si="98">SUM(H237)</f>
        <v>0</v>
      </c>
      <c r="I236" s="70">
        <f t="shared" si="98"/>
        <v>0</v>
      </c>
      <c r="J236" s="70">
        <f t="shared" si="97"/>
        <v>0</v>
      </c>
      <c r="K236" s="69"/>
    </row>
    <row r="237" spans="1:11" x14ac:dyDescent="0.2">
      <c r="A237" s="75">
        <v>2</v>
      </c>
      <c r="B237" s="67">
        <v>3</v>
      </c>
      <c r="C237" s="67">
        <v>3</v>
      </c>
      <c r="D237" s="67">
        <v>3</v>
      </c>
      <c r="E237" s="82" t="s">
        <v>178</v>
      </c>
      <c r="F237" s="68" t="s">
        <v>335</v>
      </c>
      <c r="G237" s="64"/>
      <c r="H237" s="64"/>
      <c r="I237" s="64"/>
      <c r="J237" s="64">
        <f t="shared" si="73"/>
        <v>0</v>
      </c>
      <c r="K237" s="63">
        <f>J237/$J$25</f>
        <v>0</v>
      </c>
    </row>
    <row r="238" spans="1:11" x14ac:dyDescent="0.2">
      <c r="A238" s="76">
        <v>2</v>
      </c>
      <c r="B238" s="73">
        <v>3</v>
      </c>
      <c r="C238" s="73">
        <v>3</v>
      </c>
      <c r="D238" s="73">
        <v>4</v>
      </c>
      <c r="E238" s="73"/>
      <c r="F238" s="74" t="s">
        <v>334</v>
      </c>
      <c r="G238" s="70">
        <f>SUM(G239)</f>
        <v>0</v>
      </c>
      <c r="H238" s="70">
        <f t="shared" ref="H238:I238" si="99">SUM(H239)</f>
        <v>0</v>
      </c>
      <c r="I238" s="70">
        <f t="shared" si="99"/>
        <v>0</v>
      </c>
      <c r="J238" s="70">
        <f t="shared" si="97"/>
        <v>0</v>
      </c>
      <c r="K238" s="69"/>
    </row>
    <row r="239" spans="1:11" x14ac:dyDescent="0.2">
      <c r="A239" s="75">
        <v>2</v>
      </c>
      <c r="B239" s="67">
        <v>3</v>
      </c>
      <c r="C239" s="67">
        <v>3</v>
      </c>
      <c r="D239" s="67">
        <v>4</v>
      </c>
      <c r="E239" s="82" t="s">
        <v>178</v>
      </c>
      <c r="F239" s="68" t="s">
        <v>334</v>
      </c>
      <c r="G239" s="64"/>
      <c r="H239" s="64"/>
      <c r="I239" s="64"/>
      <c r="J239" s="64">
        <f t="shared" si="73"/>
        <v>0</v>
      </c>
      <c r="K239" s="63">
        <f>J239/$J$25</f>
        <v>0</v>
      </c>
    </row>
    <row r="240" spans="1:11" x14ac:dyDescent="0.2">
      <c r="A240" s="76">
        <v>2</v>
      </c>
      <c r="B240" s="73">
        <v>3</v>
      </c>
      <c r="C240" s="73">
        <v>3</v>
      </c>
      <c r="D240" s="73">
        <v>5</v>
      </c>
      <c r="E240" s="73"/>
      <c r="F240" s="74" t="s">
        <v>333</v>
      </c>
      <c r="G240" s="70">
        <f>SUM(G241)</f>
        <v>0</v>
      </c>
      <c r="H240" s="70">
        <f t="shared" ref="H240:I240" si="100">SUM(H241)</f>
        <v>0</v>
      </c>
      <c r="I240" s="70">
        <f t="shared" si="100"/>
        <v>0</v>
      </c>
      <c r="J240" s="70">
        <f t="shared" si="97"/>
        <v>0</v>
      </c>
      <c r="K240" s="69"/>
    </row>
    <row r="241" spans="1:11" x14ac:dyDescent="0.2">
      <c r="A241" s="75">
        <v>2</v>
      </c>
      <c r="B241" s="67">
        <v>3</v>
      </c>
      <c r="C241" s="67">
        <v>3</v>
      </c>
      <c r="D241" s="67">
        <v>5</v>
      </c>
      <c r="E241" s="82" t="s">
        <v>178</v>
      </c>
      <c r="F241" s="68" t="s">
        <v>333</v>
      </c>
      <c r="G241" s="64"/>
      <c r="H241" s="64"/>
      <c r="I241" s="64"/>
      <c r="J241" s="64">
        <f t="shared" si="73"/>
        <v>0</v>
      </c>
      <c r="K241" s="63">
        <f>J241/$J$25</f>
        <v>0</v>
      </c>
    </row>
    <row r="242" spans="1:11" x14ac:dyDescent="0.2">
      <c r="A242" s="76">
        <v>2</v>
      </c>
      <c r="B242" s="73">
        <v>3</v>
      </c>
      <c r="C242" s="73">
        <v>3</v>
      </c>
      <c r="D242" s="73">
        <v>6</v>
      </c>
      <c r="E242" s="73"/>
      <c r="F242" s="74" t="s">
        <v>332</v>
      </c>
      <c r="G242" s="70">
        <f>SUM(G243)</f>
        <v>0</v>
      </c>
      <c r="H242" s="70">
        <f t="shared" ref="H242:I242" si="101">SUM(H243)</f>
        <v>0</v>
      </c>
      <c r="I242" s="70">
        <f t="shared" si="101"/>
        <v>0</v>
      </c>
      <c r="J242" s="70">
        <f t="shared" si="97"/>
        <v>0</v>
      </c>
      <c r="K242" s="69"/>
    </row>
    <row r="243" spans="1:11" x14ac:dyDescent="0.2">
      <c r="A243" s="75">
        <v>2</v>
      </c>
      <c r="B243" s="67">
        <v>3</v>
      </c>
      <c r="C243" s="67">
        <v>3</v>
      </c>
      <c r="D243" s="67">
        <v>6</v>
      </c>
      <c r="E243" s="82" t="s">
        <v>178</v>
      </c>
      <c r="F243" s="68" t="s">
        <v>332</v>
      </c>
      <c r="G243" s="64"/>
      <c r="H243" s="64"/>
      <c r="I243" s="64"/>
      <c r="J243" s="64">
        <f t="shared" si="73"/>
        <v>0</v>
      </c>
      <c r="K243" s="63">
        <f>J243/$J$25</f>
        <v>0</v>
      </c>
    </row>
    <row r="244" spans="1:11" x14ac:dyDescent="0.2">
      <c r="A244" s="81">
        <v>2</v>
      </c>
      <c r="B244" s="80">
        <v>3</v>
      </c>
      <c r="C244" s="80">
        <v>4</v>
      </c>
      <c r="D244" s="80"/>
      <c r="E244" s="84"/>
      <c r="F244" s="85" t="s">
        <v>331</v>
      </c>
      <c r="G244" s="78">
        <f>+G245+G247</f>
        <v>0</v>
      </c>
      <c r="H244" s="78">
        <f t="shared" ref="H244:I244" si="102">+H245+H247</f>
        <v>4317052.6500000013</v>
      </c>
      <c r="I244" s="78">
        <f t="shared" si="102"/>
        <v>0</v>
      </c>
      <c r="J244" s="78">
        <f t="shared" si="73"/>
        <v>4317052.6500000013</v>
      </c>
      <c r="K244" s="77"/>
    </row>
    <row r="245" spans="1:11" x14ac:dyDescent="0.2">
      <c r="A245" s="76">
        <v>2</v>
      </c>
      <c r="B245" s="73">
        <v>3</v>
      </c>
      <c r="C245" s="73">
        <v>4</v>
      </c>
      <c r="D245" s="73">
        <v>1</v>
      </c>
      <c r="E245" s="73"/>
      <c r="F245" s="74" t="s">
        <v>330</v>
      </c>
      <c r="G245" s="70">
        <f>SUM(G246)</f>
        <v>0</v>
      </c>
      <c r="H245" s="70">
        <f t="shared" ref="H245:I245" si="103">SUM(H246)</f>
        <v>4317052.6500000013</v>
      </c>
      <c r="I245" s="70">
        <f t="shared" si="103"/>
        <v>0</v>
      </c>
      <c r="J245" s="70">
        <f t="shared" si="97"/>
        <v>4317052.6500000013</v>
      </c>
      <c r="K245" s="69"/>
    </row>
    <row r="246" spans="1:11" x14ac:dyDescent="0.2">
      <c r="A246" s="75">
        <v>2</v>
      </c>
      <c r="B246" s="67">
        <v>3</v>
      </c>
      <c r="C246" s="67">
        <v>4</v>
      </c>
      <c r="D246" s="67">
        <v>1</v>
      </c>
      <c r="E246" s="82" t="s">
        <v>178</v>
      </c>
      <c r="F246" s="68" t="s">
        <v>330</v>
      </c>
      <c r="G246" s="64"/>
      <c r="H246" s="64">
        <v>4317052.6500000013</v>
      </c>
      <c r="I246" s="64"/>
      <c r="J246" s="64">
        <f t="shared" si="97"/>
        <v>4317052.6500000013</v>
      </c>
      <c r="K246" s="63">
        <f>J246/$J$25</f>
        <v>4.1720542205947217E-2</v>
      </c>
    </row>
    <row r="247" spans="1:11" x14ac:dyDescent="0.2">
      <c r="A247" s="76">
        <v>2</v>
      </c>
      <c r="B247" s="73">
        <v>3</v>
      </c>
      <c r="C247" s="73">
        <v>4</v>
      </c>
      <c r="D247" s="73">
        <v>2</v>
      </c>
      <c r="E247" s="73"/>
      <c r="F247" s="74" t="s">
        <v>329</v>
      </c>
      <c r="G247" s="70">
        <f>SUM(G248)</f>
        <v>0</v>
      </c>
      <c r="H247" s="70">
        <f t="shared" ref="H247:I247" si="104">SUM(H248)</f>
        <v>0</v>
      </c>
      <c r="I247" s="70">
        <f t="shared" si="104"/>
        <v>0</v>
      </c>
      <c r="J247" s="70">
        <f t="shared" si="97"/>
        <v>0</v>
      </c>
      <c r="K247" s="69"/>
    </row>
    <row r="248" spans="1:11" x14ac:dyDescent="0.2">
      <c r="A248" s="75">
        <v>2</v>
      </c>
      <c r="B248" s="67">
        <v>3</v>
      </c>
      <c r="C248" s="67">
        <v>4</v>
      </c>
      <c r="D248" s="67">
        <v>2</v>
      </c>
      <c r="E248" s="82" t="s">
        <v>178</v>
      </c>
      <c r="F248" s="68" t="s">
        <v>329</v>
      </c>
      <c r="G248" s="64"/>
      <c r="H248" s="64"/>
      <c r="I248" s="64"/>
      <c r="J248" s="64">
        <f t="shared" si="97"/>
        <v>0</v>
      </c>
      <c r="K248" s="63">
        <f>J248/$J$25</f>
        <v>0</v>
      </c>
    </row>
    <row r="249" spans="1:11" x14ac:dyDescent="0.2">
      <c r="A249" s="81">
        <v>2</v>
      </c>
      <c r="B249" s="80">
        <v>3</v>
      </c>
      <c r="C249" s="80">
        <v>5</v>
      </c>
      <c r="D249" s="80"/>
      <c r="E249" s="84"/>
      <c r="F249" s="85" t="s">
        <v>328</v>
      </c>
      <c r="G249" s="78">
        <f>+G250+G252+G254+G256+G258</f>
        <v>0</v>
      </c>
      <c r="H249" s="78">
        <f t="shared" ref="H249:I249" si="105">+H250+H252+H254+H256+H258</f>
        <v>637566.24</v>
      </c>
      <c r="I249" s="78">
        <f t="shared" si="105"/>
        <v>0</v>
      </c>
      <c r="J249" s="78">
        <f t="shared" si="97"/>
        <v>637566.24</v>
      </c>
      <c r="K249" s="77"/>
    </row>
    <row r="250" spans="1:11" x14ac:dyDescent="0.2">
      <c r="A250" s="76">
        <v>2</v>
      </c>
      <c r="B250" s="73">
        <v>3</v>
      </c>
      <c r="C250" s="73">
        <v>5</v>
      </c>
      <c r="D250" s="73">
        <v>1</v>
      </c>
      <c r="E250" s="73"/>
      <c r="F250" s="74" t="s">
        <v>327</v>
      </c>
      <c r="G250" s="70">
        <f>SUM(G251)</f>
        <v>0</v>
      </c>
      <c r="H250" s="70">
        <f t="shared" ref="H250:I250" si="106">SUM(H251)</f>
        <v>0</v>
      </c>
      <c r="I250" s="70">
        <f t="shared" si="106"/>
        <v>0</v>
      </c>
      <c r="J250" s="70">
        <f t="shared" si="97"/>
        <v>0</v>
      </c>
      <c r="K250" s="69"/>
    </row>
    <row r="251" spans="1:11" x14ac:dyDescent="0.2">
      <c r="A251" s="75">
        <v>2</v>
      </c>
      <c r="B251" s="67">
        <v>3</v>
      </c>
      <c r="C251" s="67">
        <v>5</v>
      </c>
      <c r="D251" s="67">
        <v>1</v>
      </c>
      <c r="E251" s="82" t="s">
        <v>178</v>
      </c>
      <c r="F251" s="68" t="s">
        <v>327</v>
      </c>
      <c r="G251" s="64"/>
      <c r="H251" s="64"/>
      <c r="I251" s="64"/>
      <c r="J251" s="64">
        <f t="shared" si="97"/>
        <v>0</v>
      </c>
      <c r="K251" s="63">
        <f>J251/$J$25</f>
        <v>0</v>
      </c>
    </row>
    <row r="252" spans="1:11" x14ac:dyDescent="0.2">
      <c r="A252" s="76">
        <v>2</v>
      </c>
      <c r="B252" s="73">
        <v>3</v>
      </c>
      <c r="C252" s="73">
        <v>5</v>
      </c>
      <c r="D252" s="73">
        <v>2</v>
      </c>
      <c r="E252" s="73"/>
      <c r="F252" s="74" t="s">
        <v>326</v>
      </c>
      <c r="G252" s="70">
        <f>SUM(G253)</f>
        <v>0</v>
      </c>
      <c r="H252" s="70">
        <f t="shared" ref="H252:I252" si="107">SUM(H253)</f>
        <v>0</v>
      </c>
      <c r="I252" s="70">
        <f t="shared" si="107"/>
        <v>0</v>
      </c>
      <c r="J252" s="70">
        <f t="shared" si="97"/>
        <v>0</v>
      </c>
      <c r="K252" s="69"/>
    </row>
    <row r="253" spans="1:11" x14ac:dyDescent="0.2">
      <c r="A253" s="75">
        <v>2</v>
      </c>
      <c r="B253" s="67">
        <v>3</v>
      </c>
      <c r="C253" s="67">
        <v>5</v>
      </c>
      <c r="D253" s="67">
        <v>2</v>
      </c>
      <c r="E253" s="82" t="s">
        <v>178</v>
      </c>
      <c r="F253" s="68" t="s">
        <v>326</v>
      </c>
      <c r="G253" s="64"/>
      <c r="H253" s="64"/>
      <c r="I253" s="64"/>
      <c r="J253" s="64">
        <f t="shared" si="97"/>
        <v>0</v>
      </c>
      <c r="K253" s="63">
        <f>J253/$J$25</f>
        <v>0</v>
      </c>
    </row>
    <row r="254" spans="1:11" x14ac:dyDescent="0.2">
      <c r="A254" s="76">
        <v>2</v>
      </c>
      <c r="B254" s="73">
        <v>3</v>
      </c>
      <c r="C254" s="73">
        <v>5</v>
      </c>
      <c r="D254" s="73">
        <v>3</v>
      </c>
      <c r="E254" s="73"/>
      <c r="F254" s="74" t="s">
        <v>325</v>
      </c>
      <c r="G254" s="70">
        <f>SUM(G255)</f>
        <v>0</v>
      </c>
      <c r="H254" s="70">
        <f t="shared" ref="H254:I254" si="108">SUM(H255)</f>
        <v>0</v>
      </c>
      <c r="I254" s="70">
        <f t="shared" si="108"/>
        <v>0</v>
      </c>
      <c r="J254" s="70">
        <f t="shared" si="97"/>
        <v>0</v>
      </c>
      <c r="K254" s="69"/>
    </row>
    <row r="255" spans="1:11" x14ac:dyDescent="0.2">
      <c r="A255" s="75">
        <v>2</v>
      </c>
      <c r="B255" s="67">
        <v>3</v>
      </c>
      <c r="C255" s="67">
        <v>5</v>
      </c>
      <c r="D255" s="67">
        <v>3</v>
      </c>
      <c r="E255" s="82" t="s">
        <v>178</v>
      </c>
      <c r="F255" s="68" t="s">
        <v>325</v>
      </c>
      <c r="G255" s="64"/>
      <c r="H255" s="64"/>
      <c r="I255" s="64"/>
      <c r="J255" s="64">
        <f t="shared" si="97"/>
        <v>0</v>
      </c>
      <c r="K255" s="63">
        <f>J255/$J$25</f>
        <v>0</v>
      </c>
    </row>
    <row r="256" spans="1:11" x14ac:dyDescent="0.2">
      <c r="A256" s="76">
        <v>2</v>
      </c>
      <c r="B256" s="73">
        <v>3</v>
      </c>
      <c r="C256" s="73">
        <v>5</v>
      </c>
      <c r="D256" s="73">
        <v>4</v>
      </c>
      <c r="E256" s="73"/>
      <c r="F256" s="74" t="s">
        <v>324</v>
      </c>
      <c r="G256" s="70">
        <f>SUM(G257)</f>
        <v>0</v>
      </c>
      <c r="H256" s="70">
        <f t="shared" ref="H256:I256" si="109">SUM(H257)</f>
        <v>1977.59</v>
      </c>
      <c r="I256" s="70">
        <f t="shared" si="109"/>
        <v>0</v>
      </c>
      <c r="J256" s="70">
        <f t="shared" si="97"/>
        <v>1977.59</v>
      </c>
      <c r="K256" s="69"/>
    </row>
    <row r="257" spans="1:11" x14ac:dyDescent="0.2">
      <c r="A257" s="75">
        <v>2</v>
      </c>
      <c r="B257" s="67">
        <v>3</v>
      </c>
      <c r="C257" s="67">
        <v>5</v>
      </c>
      <c r="D257" s="67">
        <v>4</v>
      </c>
      <c r="E257" s="82" t="s">
        <v>178</v>
      </c>
      <c r="F257" s="68" t="s">
        <v>324</v>
      </c>
      <c r="G257" s="64"/>
      <c r="H257" s="64">
        <v>1977.59</v>
      </c>
      <c r="I257" s="64"/>
      <c r="J257" s="64">
        <f t="shared" si="97"/>
        <v>1977.59</v>
      </c>
      <c r="K257" s="63">
        <f>J257/$J$25</f>
        <v>1.9111679599520089E-5</v>
      </c>
    </row>
    <row r="258" spans="1:11" x14ac:dyDescent="0.2">
      <c r="A258" s="76">
        <v>2</v>
      </c>
      <c r="B258" s="73">
        <v>3</v>
      </c>
      <c r="C258" s="73">
        <v>5</v>
      </c>
      <c r="D258" s="73">
        <v>5</v>
      </c>
      <c r="E258" s="73"/>
      <c r="F258" s="74" t="s">
        <v>323</v>
      </c>
      <c r="G258" s="70">
        <f>SUM(G259)</f>
        <v>0</v>
      </c>
      <c r="H258" s="70">
        <f t="shared" ref="H258:I258" si="110">SUM(H259)</f>
        <v>635588.65</v>
      </c>
      <c r="I258" s="70">
        <f t="shared" si="110"/>
        <v>0</v>
      </c>
      <c r="J258" s="70">
        <f t="shared" si="97"/>
        <v>635588.65</v>
      </c>
      <c r="K258" s="69"/>
    </row>
    <row r="259" spans="1:11" x14ac:dyDescent="0.2">
      <c r="A259" s="75">
        <v>2</v>
      </c>
      <c r="B259" s="67">
        <v>3</v>
      </c>
      <c r="C259" s="67">
        <v>5</v>
      </c>
      <c r="D259" s="67">
        <v>5</v>
      </c>
      <c r="E259" s="82" t="s">
        <v>178</v>
      </c>
      <c r="F259" s="68" t="s">
        <v>323</v>
      </c>
      <c r="G259" s="64"/>
      <c r="H259" s="64">
        <v>635588.65</v>
      </c>
      <c r="I259" s="64"/>
      <c r="J259" s="64">
        <f>SUM(G259:I259)</f>
        <v>635588.65</v>
      </c>
      <c r="K259" s="63">
        <f>J259/$J$25</f>
        <v>6.1424090109130376E-3</v>
      </c>
    </row>
    <row r="260" spans="1:11" x14ac:dyDescent="0.2">
      <c r="A260" s="81">
        <v>2</v>
      </c>
      <c r="B260" s="80">
        <v>3</v>
      </c>
      <c r="C260" s="80">
        <v>6</v>
      </c>
      <c r="D260" s="80"/>
      <c r="E260" s="80"/>
      <c r="F260" s="85" t="s">
        <v>322</v>
      </c>
      <c r="G260" s="78">
        <f>+G261+G267+G271+G275+G283</f>
        <v>0</v>
      </c>
      <c r="H260" s="78">
        <f t="shared" ref="H260:I260" si="111">+H261+H267+H271+H275+H283</f>
        <v>9567.64</v>
      </c>
      <c r="I260" s="78">
        <f t="shared" si="111"/>
        <v>0</v>
      </c>
      <c r="J260" s="78">
        <f t="shared" si="97"/>
        <v>9567.64</v>
      </c>
      <c r="K260" s="77"/>
    </row>
    <row r="261" spans="1:11" x14ac:dyDescent="0.2">
      <c r="A261" s="76">
        <v>2</v>
      </c>
      <c r="B261" s="73">
        <v>3</v>
      </c>
      <c r="C261" s="73">
        <v>6</v>
      </c>
      <c r="D261" s="73">
        <v>1</v>
      </c>
      <c r="E261" s="73"/>
      <c r="F261" s="74" t="s">
        <v>321</v>
      </c>
      <c r="G261" s="70">
        <f>SUM(G262:G266)</f>
        <v>0</v>
      </c>
      <c r="H261" s="70">
        <f t="shared" ref="H261:I261" si="112">SUM(H262:H266)</f>
        <v>400</v>
      </c>
      <c r="I261" s="70">
        <f t="shared" si="112"/>
        <v>0</v>
      </c>
      <c r="J261" s="70">
        <f t="shared" si="97"/>
        <v>400</v>
      </c>
      <c r="K261" s="69"/>
    </row>
    <row r="262" spans="1:11" x14ac:dyDescent="0.2">
      <c r="A262" s="75">
        <v>2</v>
      </c>
      <c r="B262" s="67">
        <v>3</v>
      </c>
      <c r="C262" s="67">
        <v>6</v>
      </c>
      <c r="D262" s="67">
        <v>1</v>
      </c>
      <c r="E262" s="82" t="s">
        <v>178</v>
      </c>
      <c r="F262" s="68" t="s">
        <v>320</v>
      </c>
      <c r="G262" s="64"/>
      <c r="H262" s="64">
        <v>400</v>
      </c>
      <c r="I262" s="64"/>
      <c r="J262" s="64">
        <f>SUM(G262:I262)</f>
        <v>400</v>
      </c>
      <c r="K262" s="63">
        <f t="shared" ref="K262:K284" si="113">J262/$J$25</f>
        <v>3.865650534139046E-6</v>
      </c>
    </row>
    <row r="263" spans="1:11" x14ac:dyDescent="0.2">
      <c r="A263" s="75">
        <v>2</v>
      </c>
      <c r="B263" s="67">
        <v>3</v>
      </c>
      <c r="C263" s="67">
        <v>6</v>
      </c>
      <c r="D263" s="67">
        <v>1</v>
      </c>
      <c r="E263" s="82" t="s">
        <v>182</v>
      </c>
      <c r="F263" s="68" t="s">
        <v>319</v>
      </c>
      <c r="G263" s="64"/>
      <c r="H263" s="64"/>
      <c r="I263" s="64"/>
      <c r="J263" s="64">
        <f t="shared" si="97"/>
        <v>0</v>
      </c>
      <c r="K263" s="63">
        <f t="shared" si="113"/>
        <v>0</v>
      </c>
    </row>
    <row r="264" spans="1:11" x14ac:dyDescent="0.2">
      <c r="A264" s="75">
        <v>2</v>
      </c>
      <c r="B264" s="67">
        <v>3</v>
      </c>
      <c r="C264" s="67">
        <v>6</v>
      </c>
      <c r="D264" s="67">
        <v>1</v>
      </c>
      <c r="E264" s="82" t="s">
        <v>180</v>
      </c>
      <c r="F264" s="68" t="s">
        <v>318</v>
      </c>
      <c r="G264" s="64"/>
      <c r="H264" s="64"/>
      <c r="I264" s="64"/>
      <c r="J264" s="64">
        <f t="shared" si="97"/>
        <v>0</v>
      </c>
      <c r="K264" s="63">
        <f t="shared" si="113"/>
        <v>0</v>
      </c>
    </row>
    <row r="265" spans="1:11" x14ac:dyDescent="0.2">
      <c r="A265" s="75">
        <v>2</v>
      </c>
      <c r="B265" s="67">
        <v>3</v>
      </c>
      <c r="C265" s="67">
        <v>6</v>
      </c>
      <c r="D265" s="67">
        <v>1</v>
      </c>
      <c r="E265" s="82" t="s">
        <v>260</v>
      </c>
      <c r="F265" s="68" t="s">
        <v>317</v>
      </c>
      <c r="G265" s="64"/>
      <c r="H265" s="64"/>
      <c r="I265" s="64"/>
      <c r="J265" s="64">
        <f t="shared" si="97"/>
        <v>0</v>
      </c>
      <c r="K265" s="63">
        <f t="shared" si="113"/>
        <v>0</v>
      </c>
    </row>
    <row r="266" spans="1:11" x14ac:dyDescent="0.2">
      <c r="A266" s="75">
        <v>2</v>
      </c>
      <c r="B266" s="67">
        <v>3</v>
      </c>
      <c r="C266" s="67">
        <v>6</v>
      </c>
      <c r="D266" s="67">
        <v>1</v>
      </c>
      <c r="E266" s="82" t="s">
        <v>258</v>
      </c>
      <c r="F266" s="68" t="s">
        <v>316</v>
      </c>
      <c r="G266" s="64"/>
      <c r="H266" s="64"/>
      <c r="I266" s="64"/>
      <c r="J266" s="64">
        <f t="shared" si="97"/>
        <v>0</v>
      </c>
      <c r="K266" s="63">
        <f t="shared" si="113"/>
        <v>0</v>
      </c>
    </row>
    <row r="267" spans="1:11" x14ac:dyDescent="0.2">
      <c r="A267" s="76">
        <v>2</v>
      </c>
      <c r="B267" s="73">
        <v>3</v>
      </c>
      <c r="C267" s="73">
        <v>6</v>
      </c>
      <c r="D267" s="73">
        <v>2</v>
      </c>
      <c r="E267" s="73"/>
      <c r="F267" s="74" t="s">
        <v>315</v>
      </c>
      <c r="G267" s="70">
        <f>SUM(G268:G270)</f>
        <v>0</v>
      </c>
      <c r="H267" s="70">
        <f t="shared" ref="H267:I267" si="114">SUM(H268:H270)</f>
        <v>0</v>
      </c>
      <c r="I267" s="70">
        <f t="shared" si="114"/>
        <v>0</v>
      </c>
      <c r="J267" s="70">
        <f t="shared" si="97"/>
        <v>0</v>
      </c>
      <c r="K267" s="69"/>
    </row>
    <row r="268" spans="1:11" x14ac:dyDescent="0.2">
      <c r="A268" s="75">
        <v>2</v>
      </c>
      <c r="B268" s="67">
        <v>3</v>
      </c>
      <c r="C268" s="67">
        <v>6</v>
      </c>
      <c r="D268" s="67">
        <v>2</v>
      </c>
      <c r="E268" s="82" t="s">
        <v>178</v>
      </c>
      <c r="F268" s="68" t="s">
        <v>314</v>
      </c>
      <c r="G268" s="64"/>
      <c r="H268" s="64"/>
      <c r="I268" s="64"/>
      <c r="J268" s="64">
        <f t="shared" si="97"/>
        <v>0</v>
      </c>
      <c r="K268" s="63">
        <f t="shared" si="113"/>
        <v>0</v>
      </c>
    </row>
    <row r="269" spans="1:11" x14ac:dyDescent="0.2">
      <c r="A269" s="75">
        <v>2</v>
      </c>
      <c r="B269" s="67">
        <v>3</v>
      </c>
      <c r="C269" s="67">
        <v>6</v>
      </c>
      <c r="D269" s="67">
        <v>2</v>
      </c>
      <c r="E269" s="82" t="s">
        <v>182</v>
      </c>
      <c r="F269" s="68" t="s">
        <v>313</v>
      </c>
      <c r="G269" s="64"/>
      <c r="H269" s="64"/>
      <c r="I269" s="64"/>
      <c r="J269" s="64">
        <f t="shared" si="97"/>
        <v>0</v>
      </c>
      <c r="K269" s="63">
        <f t="shared" si="113"/>
        <v>0</v>
      </c>
    </row>
    <row r="270" spans="1:11" x14ac:dyDescent="0.2">
      <c r="A270" s="75">
        <v>2</v>
      </c>
      <c r="B270" s="67">
        <v>3</v>
      </c>
      <c r="C270" s="67">
        <v>6</v>
      </c>
      <c r="D270" s="67">
        <v>2</v>
      </c>
      <c r="E270" s="82" t="s">
        <v>180</v>
      </c>
      <c r="F270" s="68" t="s">
        <v>312</v>
      </c>
      <c r="G270" s="64"/>
      <c r="H270" s="64"/>
      <c r="I270" s="64"/>
      <c r="J270" s="64">
        <f t="shared" si="97"/>
        <v>0</v>
      </c>
      <c r="K270" s="63">
        <f t="shared" si="113"/>
        <v>0</v>
      </c>
    </row>
    <row r="271" spans="1:11" x14ac:dyDescent="0.2">
      <c r="A271" s="76">
        <v>2</v>
      </c>
      <c r="B271" s="73">
        <v>3</v>
      </c>
      <c r="C271" s="73">
        <v>6</v>
      </c>
      <c r="D271" s="73">
        <v>3</v>
      </c>
      <c r="E271" s="73"/>
      <c r="F271" s="74" t="s">
        <v>311</v>
      </c>
      <c r="G271" s="70">
        <f>SUM(G272:G274)</f>
        <v>0</v>
      </c>
      <c r="H271" s="70">
        <f t="shared" ref="H271:I271" si="115">SUM(H272:H274)</f>
        <v>9167.64</v>
      </c>
      <c r="I271" s="70">
        <f t="shared" si="115"/>
        <v>0</v>
      </c>
      <c r="J271" s="70">
        <f t="shared" si="97"/>
        <v>9167.64</v>
      </c>
      <c r="K271" s="69"/>
    </row>
    <row r="272" spans="1:11" x14ac:dyDescent="0.2">
      <c r="A272" s="75">
        <v>2</v>
      </c>
      <c r="B272" s="67">
        <v>3</v>
      </c>
      <c r="C272" s="67">
        <v>6</v>
      </c>
      <c r="D272" s="67">
        <v>3</v>
      </c>
      <c r="E272" s="82" t="s">
        <v>260</v>
      </c>
      <c r="F272" s="66" t="s">
        <v>310</v>
      </c>
      <c r="G272" s="64"/>
      <c r="H272" s="64">
        <v>75</v>
      </c>
      <c r="I272" s="64"/>
      <c r="J272" s="64">
        <f t="shared" si="97"/>
        <v>75</v>
      </c>
      <c r="K272" s="63">
        <f t="shared" si="113"/>
        <v>7.2480947515107107E-7</v>
      </c>
    </row>
    <row r="273" spans="1:11" x14ac:dyDescent="0.2">
      <c r="A273" s="75">
        <v>2</v>
      </c>
      <c r="B273" s="67">
        <v>3</v>
      </c>
      <c r="C273" s="67">
        <v>6</v>
      </c>
      <c r="D273" s="67">
        <v>3</v>
      </c>
      <c r="E273" s="82" t="s">
        <v>258</v>
      </c>
      <c r="F273" s="68" t="s">
        <v>309</v>
      </c>
      <c r="G273" s="64"/>
      <c r="H273" s="64"/>
      <c r="I273" s="64"/>
      <c r="J273" s="64">
        <f t="shared" si="97"/>
        <v>0</v>
      </c>
      <c r="K273" s="63">
        <f t="shared" si="113"/>
        <v>0</v>
      </c>
    </row>
    <row r="274" spans="1:11" x14ac:dyDescent="0.2">
      <c r="A274" s="75">
        <v>2</v>
      </c>
      <c r="B274" s="67">
        <v>3</v>
      </c>
      <c r="C274" s="67">
        <v>6</v>
      </c>
      <c r="D274" s="67">
        <v>3</v>
      </c>
      <c r="E274" s="82" t="s">
        <v>282</v>
      </c>
      <c r="F274" s="68" t="s">
        <v>308</v>
      </c>
      <c r="G274" s="64"/>
      <c r="H274" s="64">
        <v>9092.64</v>
      </c>
      <c r="I274" s="64"/>
      <c r="J274" s="64">
        <f t="shared" si="97"/>
        <v>9092.64</v>
      </c>
      <c r="K274" s="63">
        <f t="shared" si="113"/>
        <v>8.7872421681835122E-5</v>
      </c>
    </row>
    <row r="275" spans="1:11" x14ac:dyDescent="0.2">
      <c r="A275" s="76">
        <v>2</v>
      </c>
      <c r="B275" s="73">
        <v>3</v>
      </c>
      <c r="C275" s="73">
        <v>6</v>
      </c>
      <c r="D275" s="73">
        <v>4</v>
      </c>
      <c r="E275" s="73"/>
      <c r="F275" s="74" t="s">
        <v>307</v>
      </c>
      <c r="G275" s="70">
        <f>SUM(G276:G282)</f>
        <v>0</v>
      </c>
      <c r="H275" s="70">
        <f t="shared" ref="H275:I275" si="116">SUM(H276:H282)</f>
        <v>0</v>
      </c>
      <c r="I275" s="70">
        <f t="shared" si="116"/>
        <v>0</v>
      </c>
      <c r="J275" s="70">
        <f t="shared" si="97"/>
        <v>0</v>
      </c>
      <c r="K275" s="69"/>
    </row>
    <row r="276" spans="1:11" x14ac:dyDescent="0.2">
      <c r="A276" s="75">
        <v>2</v>
      </c>
      <c r="B276" s="67">
        <v>3</v>
      </c>
      <c r="C276" s="67">
        <v>6</v>
      </c>
      <c r="D276" s="67">
        <v>4</v>
      </c>
      <c r="E276" s="82" t="s">
        <v>178</v>
      </c>
      <c r="F276" s="68" t="s">
        <v>306</v>
      </c>
      <c r="G276" s="65"/>
      <c r="H276" s="65"/>
      <c r="I276" s="65"/>
      <c r="J276" s="64">
        <f t="shared" si="97"/>
        <v>0</v>
      </c>
      <c r="K276" s="63">
        <f t="shared" si="113"/>
        <v>0</v>
      </c>
    </row>
    <row r="277" spans="1:11" x14ac:dyDescent="0.2">
      <c r="A277" s="75">
        <v>2</v>
      </c>
      <c r="B277" s="67">
        <v>3</v>
      </c>
      <c r="C277" s="67">
        <v>6</v>
      </c>
      <c r="D277" s="67">
        <v>4</v>
      </c>
      <c r="E277" s="82" t="s">
        <v>182</v>
      </c>
      <c r="F277" s="68" t="s">
        <v>305</v>
      </c>
      <c r="G277" s="65"/>
      <c r="H277" s="65"/>
      <c r="I277" s="65"/>
      <c r="J277" s="64">
        <f t="shared" si="97"/>
        <v>0</v>
      </c>
      <c r="K277" s="63">
        <f t="shared" si="113"/>
        <v>0</v>
      </c>
    </row>
    <row r="278" spans="1:11" x14ac:dyDescent="0.2">
      <c r="A278" s="75">
        <v>2</v>
      </c>
      <c r="B278" s="67">
        <v>3</v>
      </c>
      <c r="C278" s="67">
        <v>6</v>
      </c>
      <c r="D278" s="67">
        <v>4</v>
      </c>
      <c r="E278" s="82" t="s">
        <v>180</v>
      </c>
      <c r="F278" s="68" t="s">
        <v>304</v>
      </c>
      <c r="G278" s="65"/>
      <c r="H278" s="65"/>
      <c r="I278" s="65"/>
      <c r="J278" s="64">
        <f t="shared" si="97"/>
        <v>0</v>
      </c>
      <c r="K278" s="63">
        <f t="shared" si="113"/>
        <v>0</v>
      </c>
    </row>
    <row r="279" spans="1:11" x14ac:dyDescent="0.2">
      <c r="A279" s="75">
        <v>2</v>
      </c>
      <c r="B279" s="67">
        <v>3</v>
      </c>
      <c r="C279" s="67">
        <v>6</v>
      </c>
      <c r="D279" s="67">
        <v>4</v>
      </c>
      <c r="E279" s="82" t="s">
        <v>260</v>
      </c>
      <c r="F279" s="68" t="s">
        <v>303</v>
      </c>
      <c r="G279" s="65"/>
      <c r="H279" s="65"/>
      <c r="I279" s="65"/>
      <c r="J279" s="64">
        <f t="shared" si="97"/>
        <v>0</v>
      </c>
      <c r="K279" s="63">
        <f t="shared" si="113"/>
        <v>0</v>
      </c>
    </row>
    <row r="280" spans="1:11" x14ac:dyDescent="0.2">
      <c r="A280" s="75">
        <v>2</v>
      </c>
      <c r="B280" s="67">
        <v>3</v>
      </c>
      <c r="C280" s="67">
        <v>6</v>
      </c>
      <c r="D280" s="67">
        <v>4</v>
      </c>
      <c r="E280" s="82" t="s">
        <v>258</v>
      </c>
      <c r="F280" s="68" t="s">
        <v>302</v>
      </c>
      <c r="G280" s="65"/>
      <c r="H280" s="65"/>
      <c r="I280" s="65"/>
      <c r="J280" s="64">
        <f t="shared" si="97"/>
        <v>0</v>
      </c>
      <c r="K280" s="63">
        <f t="shared" si="113"/>
        <v>0</v>
      </c>
    </row>
    <row r="281" spans="1:11" x14ac:dyDescent="0.2">
      <c r="A281" s="75">
        <v>2</v>
      </c>
      <c r="B281" s="67">
        <v>3</v>
      </c>
      <c r="C281" s="67">
        <v>6</v>
      </c>
      <c r="D281" s="67">
        <v>4</v>
      </c>
      <c r="E281" s="82" t="s">
        <v>282</v>
      </c>
      <c r="F281" s="68" t="s">
        <v>301</v>
      </c>
      <c r="G281" s="65"/>
      <c r="H281" s="65"/>
      <c r="I281" s="65"/>
      <c r="J281" s="64">
        <f t="shared" si="97"/>
        <v>0</v>
      </c>
      <c r="K281" s="63">
        <f t="shared" si="113"/>
        <v>0</v>
      </c>
    </row>
    <row r="282" spans="1:11" x14ac:dyDescent="0.2">
      <c r="A282" s="75">
        <v>2</v>
      </c>
      <c r="B282" s="67">
        <v>3</v>
      </c>
      <c r="C282" s="67">
        <v>6</v>
      </c>
      <c r="D282" s="67">
        <v>4</v>
      </c>
      <c r="E282" s="82" t="s">
        <v>290</v>
      </c>
      <c r="F282" s="68" t="s">
        <v>300</v>
      </c>
      <c r="G282" s="65"/>
      <c r="H282" s="65"/>
      <c r="I282" s="65"/>
      <c r="J282" s="64">
        <f t="shared" si="97"/>
        <v>0</v>
      </c>
      <c r="K282" s="63">
        <f t="shared" si="113"/>
        <v>0</v>
      </c>
    </row>
    <row r="283" spans="1:11" x14ac:dyDescent="0.2">
      <c r="A283" s="76">
        <v>2</v>
      </c>
      <c r="B283" s="73">
        <v>3</v>
      </c>
      <c r="C283" s="73">
        <v>6</v>
      </c>
      <c r="D283" s="73">
        <v>9</v>
      </c>
      <c r="E283" s="73"/>
      <c r="F283" s="74" t="s">
        <v>299</v>
      </c>
      <c r="G283" s="70">
        <f>SUM(G284)</f>
        <v>0</v>
      </c>
      <c r="H283" s="70">
        <f t="shared" ref="H283:I283" si="117">SUM(H284)</f>
        <v>0</v>
      </c>
      <c r="I283" s="70">
        <f t="shared" si="117"/>
        <v>0</v>
      </c>
      <c r="J283" s="70">
        <f t="shared" si="97"/>
        <v>0</v>
      </c>
      <c r="K283" s="69"/>
    </row>
    <row r="284" spans="1:11" x14ac:dyDescent="0.2">
      <c r="A284" s="75">
        <v>2</v>
      </c>
      <c r="B284" s="67">
        <v>3</v>
      </c>
      <c r="C284" s="67">
        <v>6</v>
      </c>
      <c r="D284" s="67">
        <v>9</v>
      </c>
      <c r="E284" s="82" t="s">
        <v>178</v>
      </c>
      <c r="F284" s="68" t="s">
        <v>299</v>
      </c>
      <c r="G284" s="64"/>
      <c r="H284" s="64"/>
      <c r="I284" s="64"/>
      <c r="J284" s="64">
        <f t="shared" si="97"/>
        <v>0</v>
      </c>
      <c r="K284" s="63">
        <f t="shared" si="113"/>
        <v>0</v>
      </c>
    </row>
    <row r="285" spans="1:11" x14ac:dyDescent="0.2">
      <c r="A285" s="85">
        <v>2</v>
      </c>
      <c r="B285" s="80">
        <v>3</v>
      </c>
      <c r="C285" s="80">
        <v>7</v>
      </c>
      <c r="D285" s="80"/>
      <c r="E285" s="80"/>
      <c r="F285" s="79" t="s">
        <v>298</v>
      </c>
      <c r="G285" s="78">
        <f>G286+G294</f>
        <v>0</v>
      </c>
      <c r="H285" s="78">
        <f t="shared" ref="H285:I285" si="118">H286+H294</f>
        <v>6046733.7400000002</v>
      </c>
      <c r="I285" s="78">
        <f t="shared" si="118"/>
        <v>0</v>
      </c>
      <c r="J285" s="78">
        <f t="shared" si="97"/>
        <v>6046733.7400000002</v>
      </c>
      <c r="K285" s="77"/>
    </row>
    <row r="286" spans="1:11" x14ac:dyDescent="0.2">
      <c r="A286" s="76">
        <v>2</v>
      </c>
      <c r="B286" s="73">
        <v>3</v>
      </c>
      <c r="C286" s="73">
        <v>7</v>
      </c>
      <c r="D286" s="73">
        <v>1</v>
      </c>
      <c r="E286" s="73"/>
      <c r="F286" s="74" t="s">
        <v>297</v>
      </c>
      <c r="G286" s="70">
        <f>SUM(G287:G293)</f>
        <v>0</v>
      </c>
      <c r="H286" s="70">
        <f t="shared" ref="H286:I286" si="119">SUM(H287:H293)</f>
        <v>1693</v>
      </c>
      <c r="I286" s="70">
        <f t="shared" si="119"/>
        <v>0</v>
      </c>
      <c r="J286" s="70">
        <f t="shared" si="97"/>
        <v>1693</v>
      </c>
      <c r="K286" s="69"/>
    </row>
    <row r="287" spans="1:11" x14ac:dyDescent="0.2">
      <c r="A287" s="75">
        <v>2</v>
      </c>
      <c r="B287" s="67">
        <v>3</v>
      </c>
      <c r="C287" s="67">
        <v>7</v>
      </c>
      <c r="D287" s="67">
        <v>1</v>
      </c>
      <c r="E287" s="82" t="s">
        <v>178</v>
      </c>
      <c r="F287" s="68" t="s">
        <v>296</v>
      </c>
      <c r="G287" s="64"/>
      <c r="H287" s="64"/>
      <c r="I287" s="64"/>
      <c r="J287" s="64">
        <f t="shared" si="97"/>
        <v>0</v>
      </c>
      <c r="K287" s="63">
        <f t="shared" ref="K287:K293" si="120">J287/$J$25</f>
        <v>0</v>
      </c>
    </row>
    <row r="288" spans="1:11" x14ac:dyDescent="0.2">
      <c r="A288" s="75">
        <v>2</v>
      </c>
      <c r="B288" s="67">
        <v>3</v>
      </c>
      <c r="C288" s="67">
        <v>7</v>
      </c>
      <c r="D288" s="67">
        <v>1</v>
      </c>
      <c r="E288" s="82" t="s">
        <v>182</v>
      </c>
      <c r="F288" s="68" t="s">
        <v>295</v>
      </c>
      <c r="G288" s="64"/>
      <c r="H288" s="64"/>
      <c r="I288" s="64"/>
      <c r="J288" s="64">
        <f t="shared" si="97"/>
        <v>0</v>
      </c>
      <c r="K288" s="63">
        <f t="shared" si="120"/>
        <v>0</v>
      </c>
    </row>
    <row r="289" spans="1:12" x14ac:dyDescent="0.2">
      <c r="A289" s="75">
        <v>2</v>
      </c>
      <c r="B289" s="67">
        <v>3</v>
      </c>
      <c r="C289" s="67">
        <v>7</v>
      </c>
      <c r="D289" s="67">
        <v>1</v>
      </c>
      <c r="E289" s="82" t="s">
        <v>180</v>
      </c>
      <c r="F289" s="68" t="s">
        <v>294</v>
      </c>
      <c r="G289" s="64"/>
      <c r="H289" s="64"/>
      <c r="I289" s="64"/>
      <c r="J289" s="64">
        <f t="shared" si="97"/>
        <v>0</v>
      </c>
      <c r="K289" s="63">
        <f t="shared" si="120"/>
        <v>0</v>
      </c>
    </row>
    <row r="290" spans="1:12" x14ac:dyDescent="0.2">
      <c r="A290" s="75">
        <v>2</v>
      </c>
      <c r="B290" s="67">
        <v>3</v>
      </c>
      <c r="C290" s="67">
        <v>7</v>
      </c>
      <c r="D290" s="67">
        <v>1</v>
      </c>
      <c r="E290" s="82" t="s">
        <v>260</v>
      </c>
      <c r="F290" s="68" t="s">
        <v>293</v>
      </c>
      <c r="G290" s="64"/>
      <c r="H290" s="64">
        <v>1693</v>
      </c>
      <c r="I290" s="64"/>
      <c r="J290" s="64">
        <f t="shared" si="97"/>
        <v>1693</v>
      </c>
      <c r="K290" s="63">
        <f t="shared" si="120"/>
        <v>1.6361365885743512E-5</v>
      </c>
    </row>
    <row r="291" spans="1:12" x14ac:dyDescent="0.2">
      <c r="A291" s="75">
        <v>2</v>
      </c>
      <c r="B291" s="67">
        <v>3</v>
      </c>
      <c r="C291" s="67">
        <v>7</v>
      </c>
      <c r="D291" s="67">
        <v>1</v>
      </c>
      <c r="E291" s="82" t="s">
        <v>258</v>
      </c>
      <c r="F291" s="68" t="s">
        <v>292</v>
      </c>
      <c r="G291" s="64"/>
      <c r="H291" s="64"/>
      <c r="I291" s="64"/>
      <c r="J291" s="64">
        <f t="shared" si="97"/>
        <v>0</v>
      </c>
      <c r="K291" s="63">
        <f t="shared" si="120"/>
        <v>0</v>
      </c>
    </row>
    <row r="292" spans="1:12" x14ac:dyDescent="0.2">
      <c r="A292" s="75">
        <v>2</v>
      </c>
      <c r="B292" s="67">
        <v>3</v>
      </c>
      <c r="C292" s="67">
        <v>7</v>
      </c>
      <c r="D292" s="67">
        <v>1</v>
      </c>
      <c r="E292" s="82" t="s">
        <v>282</v>
      </c>
      <c r="F292" s="68" t="s">
        <v>291</v>
      </c>
      <c r="G292" s="64"/>
      <c r="H292" s="64"/>
      <c r="I292" s="64"/>
      <c r="J292" s="64">
        <f t="shared" si="97"/>
        <v>0</v>
      </c>
      <c r="K292" s="63">
        <f t="shared" si="120"/>
        <v>0</v>
      </c>
    </row>
    <row r="293" spans="1:12" x14ac:dyDescent="0.2">
      <c r="A293" s="75">
        <v>2</v>
      </c>
      <c r="B293" s="67">
        <v>3</v>
      </c>
      <c r="C293" s="67">
        <v>7</v>
      </c>
      <c r="D293" s="67">
        <v>1</v>
      </c>
      <c r="E293" s="82" t="s">
        <v>290</v>
      </c>
      <c r="F293" s="68" t="s">
        <v>289</v>
      </c>
      <c r="G293" s="65"/>
      <c r="H293" s="65"/>
      <c r="I293" s="65"/>
      <c r="J293" s="64">
        <f t="shared" si="97"/>
        <v>0</v>
      </c>
      <c r="K293" s="63">
        <f t="shared" si="120"/>
        <v>0</v>
      </c>
    </row>
    <row r="294" spans="1:12" x14ac:dyDescent="0.2">
      <c r="A294" s="76">
        <v>2</v>
      </c>
      <c r="B294" s="73">
        <v>3</v>
      </c>
      <c r="C294" s="73">
        <v>7</v>
      </c>
      <c r="D294" s="73">
        <v>2</v>
      </c>
      <c r="E294" s="73"/>
      <c r="F294" s="74" t="s">
        <v>288</v>
      </c>
      <c r="G294" s="70">
        <f>SUM(G295:G301)</f>
        <v>0</v>
      </c>
      <c r="H294" s="70">
        <f t="shared" ref="H294:I294" si="121">SUM(H295:H301)</f>
        <v>6045040.7400000002</v>
      </c>
      <c r="I294" s="70">
        <f t="shared" si="121"/>
        <v>0</v>
      </c>
      <c r="J294" s="70">
        <f t="shared" si="97"/>
        <v>6045040.7400000002</v>
      </c>
      <c r="K294" s="69"/>
    </row>
    <row r="295" spans="1:12" x14ac:dyDescent="0.2">
      <c r="A295" s="75">
        <v>2</v>
      </c>
      <c r="B295" s="67">
        <v>3</v>
      </c>
      <c r="C295" s="67">
        <v>7</v>
      </c>
      <c r="D295" s="67">
        <v>2</v>
      </c>
      <c r="E295" s="82" t="s">
        <v>178</v>
      </c>
      <c r="F295" s="68" t="s">
        <v>287</v>
      </c>
      <c r="G295" s="64"/>
      <c r="H295" s="64"/>
      <c r="I295" s="64"/>
      <c r="J295" s="64">
        <f t="shared" si="97"/>
        <v>0</v>
      </c>
      <c r="K295" s="63">
        <f t="shared" ref="K295:K301" si="122">J295/$J$25</f>
        <v>0</v>
      </c>
    </row>
    <row r="296" spans="1:12" x14ac:dyDescent="0.2">
      <c r="A296" s="75">
        <v>2</v>
      </c>
      <c r="B296" s="67">
        <v>3</v>
      </c>
      <c r="C296" s="67">
        <v>7</v>
      </c>
      <c r="D296" s="67">
        <v>2</v>
      </c>
      <c r="E296" s="82" t="s">
        <v>182</v>
      </c>
      <c r="F296" s="68" t="s">
        <v>286</v>
      </c>
      <c r="G296" s="64"/>
      <c r="H296" s="64"/>
      <c r="I296" s="64"/>
      <c r="J296" s="64">
        <f t="shared" si="97"/>
        <v>0</v>
      </c>
      <c r="K296" s="63">
        <f t="shared" si="122"/>
        <v>0</v>
      </c>
    </row>
    <row r="297" spans="1:12" x14ac:dyDescent="0.2">
      <c r="A297" s="75">
        <v>2</v>
      </c>
      <c r="B297" s="67">
        <v>3</v>
      </c>
      <c r="C297" s="67">
        <v>7</v>
      </c>
      <c r="D297" s="67">
        <v>2</v>
      </c>
      <c r="E297" s="82" t="s">
        <v>180</v>
      </c>
      <c r="F297" s="68" t="s">
        <v>285</v>
      </c>
      <c r="G297" s="64"/>
      <c r="H297" s="64">
        <v>5778760.7400000002</v>
      </c>
      <c r="I297" s="64"/>
      <c r="J297" s="64">
        <f t="shared" si="97"/>
        <v>5778760.7400000002</v>
      </c>
      <c r="K297" s="63">
        <f t="shared" si="122"/>
        <v>5.5846673853106869E-2</v>
      </c>
      <c r="L297" s="179"/>
    </row>
    <row r="298" spans="1:12" x14ac:dyDescent="0.2">
      <c r="A298" s="75">
        <v>2</v>
      </c>
      <c r="B298" s="67">
        <v>3</v>
      </c>
      <c r="C298" s="67">
        <v>7</v>
      </c>
      <c r="D298" s="67">
        <v>2</v>
      </c>
      <c r="E298" s="82" t="s">
        <v>260</v>
      </c>
      <c r="F298" s="68" t="s">
        <v>284</v>
      </c>
      <c r="G298" s="64"/>
      <c r="H298" s="64"/>
      <c r="I298" s="64"/>
      <c r="J298" s="64">
        <f t="shared" si="97"/>
        <v>0</v>
      </c>
      <c r="K298" s="63">
        <f t="shared" si="122"/>
        <v>0</v>
      </c>
    </row>
    <row r="299" spans="1:12" x14ac:dyDescent="0.2">
      <c r="A299" s="75">
        <v>2</v>
      </c>
      <c r="B299" s="67">
        <v>3</v>
      </c>
      <c r="C299" s="67">
        <v>7</v>
      </c>
      <c r="D299" s="67">
        <v>2</v>
      </c>
      <c r="E299" s="82" t="s">
        <v>258</v>
      </c>
      <c r="F299" s="68" t="s">
        <v>283</v>
      </c>
      <c r="G299" s="64"/>
      <c r="H299" s="64"/>
      <c r="I299" s="64"/>
      <c r="J299" s="64">
        <f t="shared" si="97"/>
        <v>0</v>
      </c>
      <c r="K299" s="63">
        <f t="shared" si="122"/>
        <v>0</v>
      </c>
    </row>
    <row r="300" spans="1:12" ht="25.5" x14ac:dyDescent="0.2">
      <c r="A300" s="68">
        <v>2</v>
      </c>
      <c r="B300" s="67">
        <v>3</v>
      </c>
      <c r="C300" s="67">
        <v>7</v>
      </c>
      <c r="D300" s="67">
        <v>2</v>
      </c>
      <c r="E300" s="82" t="s">
        <v>282</v>
      </c>
      <c r="F300" s="88" t="s">
        <v>281</v>
      </c>
      <c r="G300" s="64"/>
      <c r="H300" s="64"/>
      <c r="I300" s="64"/>
      <c r="J300" s="64">
        <f t="shared" si="97"/>
        <v>0</v>
      </c>
      <c r="K300" s="63">
        <f t="shared" si="122"/>
        <v>0</v>
      </c>
    </row>
    <row r="301" spans="1:12" x14ac:dyDescent="0.2">
      <c r="A301" s="68">
        <v>2</v>
      </c>
      <c r="B301" s="67">
        <v>3</v>
      </c>
      <c r="C301" s="67">
        <v>7</v>
      </c>
      <c r="D301" s="67">
        <v>2</v>
      </c>
      <c r="E301" s="82">
        <v>9</v>
      </c>
      <c r="F301" s="88" t="s">
        <v>280</v>
      </c>
      <c r="G301" s="64"/>
      <c r="H301" s="64">
        <v>266280</v>
      </c>
      <c r="I301" s="64"/>
      <c r="J301" s="64">
        <f t="shared" si="97"/>
        <v>266280</v>
      </c>
      <c r="K301" s="63">
        <f t="shared" si="122"/>
        <v>2.5733635605763626E-3</v>
      </c>
    </row>
    <row r="302" spans="1:12" ht="25.5" x14ac:dyDescent="0.2">
      <c r="A302" s="85">
        <v>2</v>
      </c>
      <c r="B302" s="80">
        <v>3</v>
      </c>
      <c r="C302" s="80">
        <v>8</v>
      </c>
      <c r="D302" s="80"/>
      <c r="E302" s="80"/>
      <c r="F302" s="79" t="s">
        <v>279</v>
      </c>
      <c r="G302" s="78">
        <f>+G303+G305</f>
        <v>0</v>
      </c>
      <c r="H302" s="78">
        <f t="shared" ref="H302:I302" si="123">+H303+H305</f>
        <v>0</v>
      </c>
      <c r="I302" s="78">
        <f t="shared" si="123"/>
        <v>0</v>
      </c>
      <c r="J302" s="78">
        <f t="shared" si="97"/>
        <v>0</v>
      </c>
      <c r="K302" s="77"/>
    </row>
    <row r="303" spans="1:12" x14ac:dyDescent="0.2">
      <c r="A303" s="74">
        <v>2</v>
      </c>
      <c r="B303" s="73">
        <v>3</v>
      </c>
      <c r="C303" s="73">
        <v>8</v>
      </c>
      <c r="D303" s="73">
        <v>1</v>
      </c>
      <c r="E303" s="73"/>
      <c r="F303" s="74" t="s">
        <v>278</v>
      </c>
      <c r="G303" s="70">
        <f>SUM(G304)</f>
        <v>0</v>
      </c>
      <c r="H303" s="70">
        <f t="shared" ref="H303:I303" si="124">SUM(H304)</f>
        <v>0</v>
      </c>
      <c r="I303" s="70">
        <f t="shared" si="124"/>
        <v>0</v>
      </c>
      <c r="J303" s="70">
        <f t="shared" ref="J303:J365" si="125">SUM(G303:I303)</f>
        <v>0</v>
      </c>
      <c r="K303" s="69"/>
    </row>
    <row r="304" spans="1:12" x14ac:dyDescent="0.2">
      <c r="A304" s="68">
        <v>2</v>
      </c>
      <c r="B304" s="67">
        <v>3</v>
      </c>
      <c r="C304" s="67">
        <v>8</v>
      </c>
      <c r="D304" s="67">
        <v>1</v>
      </c>
      <c r="E304" s="82" t="s">
        <v>178</v>
      </c>
      <c r="F304" s="68" t="s">
        <v>278</v>
      </c>
      <c r="G304" s="64"/>
      <c r="H304" s="64"/>
      <c r="I304" s="64"/>
      <c r="J304" s="64">
        <f t="shared" si="97"/>
        <v>0</v>
      </c>
      <c r="K304" s="63">
        <f t="shared" ref="K304" si="126">J304/$J$25</f>
        <v>0</v>
      </c>
    </row>
    <row r="305" spans="1:12" ht="25.5" x14ac:dyDescent="0.2">
      <c r="A305" s="74">
        <v>2</v>
      </c>
      <c r="B305" s="73">
        <v>3</v>
      </c>
      <c r="C305" s="73">
        <v>8</v>
      </c>
      <c r="D305" s="73">
        <v>2</v>
      </c>
      <c r="E305" s="73"/>
      <c r="F305" s="71" t="s">
        <v>277</v>
      </c>
      <c r="G305" s="70">
        <f>SUM(G306)</f>
        <v>0</v>
      </c>
      <c r="H305" s="70">
        <f t="shared" ref="H305:I305" si="127">SUM(H306)</f>
        <v>0</v>
      </c>
      <c r="I305" s="70">
        <f t="shared" si="127"/>
        <v>0</v>
      </c>
      <c r="J305" s="70">
        <f t="shared" si="125"/>
        <v>0</v>
      </c>
      <c r="K305" s="69"/>
    </row>
    <row r="306" spans="1:12" ht="25.5" x14ac:dyDescent="0.2">
      <c r="A306" s="68">
        <v>2</v>
      </c>
      <c r="B306" s="67">
        <v>3</v>
      </c>
      <c r="C306" s="67">
        <v>8</v>
      </c>
      <c r="D306" s="67">
        <v>2</v>
      </c>
      <c r="E306" s="82" t="s">
        <v>178</v>
      </c>
      <c r="F306" s="66" t="s">
        <v>277</v>
      </c>
      <c r="G306" s="64"/>
      <c r="H306" s="64"/>
      <c r="I306" s="64"/>
      <c r="J306" s="64">
        <f t="shared" si="125"/>
        <v>0</v>
      </c>
      <c r="K306" s="63">
        <f t="shared" ref="K306" si="128">J306/$J$25</f>
        <v>0</v>
      </c>
    </row>
    <row r="307" spans="1:12" x14ac:dyDescent="0.2">
      <c r="A307" s="85">
        <v>2</v>
      </c>
      <c r="B307" s="80">
        <v>3</v>
      </c>
      <c r="C307" s="80">
        <v>9</v>
      </c>
      <c r="D307" s="80"/>
      <c r="E307" s="80"/>
      <c r="F307" s="85" t="s">
        <v>276</v>
      </c>
      <c r="G307" s="78">
        <f>+G308+G310+G312+G314+G316+G318+G320+G322+G325</f>
        <v>0</v>
      </c>
      <c r="H307" s="78">
        <f t="shared" ref="H307:I307" si="129">+H308+H310+H312+H314+H316+H318+H320+H322+H325</f>
        <v>16366301.960000008</v>
      </c>
      <c r="I307" s="78">
        <f t="shared" si="129"/>
        <v>0</v>
      </c>
      <c r="J307" s="78">
        <f t="shared" si="125"/>
        <v>16366301.960000008</v>
      </c>
      <c r="K307" s="77"/>
    </row>
    <row r="308" spans="1:12" x14ac:dyDescent="0.2">
      <c r="A308" s="76">
        <v>2</v>
      </c>
      <c r="B308" s="73">
        <v>3</v>
      </c>
      <c r="C308" s="73">
        <v>9</v>
      </c>
      <c r="D308" s="73">
        <v>1</v>
      </c>
      <c r="E308" s="73"/>
      <c r="F308" s="74" t="s">
        <v>275</v>
      </c>
      <c r="G308" s="70">
        <f>SUM(G309)</f>
        <v>0</v>
      </c>
      <c r="H308" s="70">
        <f t="shared" ref="H308:I308" si="130">SUM(H309)</f>
        <v>351998.71999999997</v>
      </c>
      <c r="I308" s="70">
        <f t="shared" si="130"/>
        <v>0</v>
      </c>
      <c r="J308" s="70">
        <f t="shared" si="125"/>
        <v>351998.71999999997</v>
      </c>
      <c r="K308" s="69"/>
    </row>
    <row r="309" spans="1:12" x14ac:dyDescent="0.2">
      <c r="A309" s="75">
        <v>2</v>
      </c>
      <c r="B309" s="67">
        <v>3</v>
      </c>
      <c r="C309" s="67">
        <v>9</v>
      </c>
      <c r="D309" s="67">
        <v>1</v>
      </c>
      <c r="E309" s="82" t="s">
        <v>178</v>
      </c>
      <c r="F309" s="68" t="s">
        <v>275</v>
      </c>
      <c r="G309" s="64"/>
      <c r="H309" s="64">
        <v>351998.71999999997</v>
      </c>
      <c r="I309" s="64"/>
      <c r="J309" s="64">
        <f t="shared" si="125"/>
        <v>351998.71999999997</v>
      </c>
      <c r="K309" s="63">
        <f t="shared" ref="K309" si="131">J309/$J$25</f>
        <v>3.4017600999606506E-3</v>
      </c>
      <c r="L309" s="179"/>
    </row>
    <row r="310" spans="1:12" x14ac:dyDescent="0.2">
      <c r="A310" s="76">
        <v>2</v>
      </c>
      <c r="B310" s="73">
        <v>3</v>
      </c>
      <c r="C310" s="73">
        <v>9</v>
      </c>
      <c r="D310" s="73">
        <v>2</v>
      </c>
      <c r="E310" s="73"/>
      <c r="F310" s="74" t="s">
        <v>274</v>
      </c>
      <c r="G310" s="70">
        <f>SUM(G311)</f>
        <v>0</v>
      </c>
      <c r="H310" s="70">
        <f t="shared" ref="H310:I310" si="132">SUM(H311)</f>
        <v>119107.15999999999</v>
      </c>
      <c r="I310" s="70">
        <f t="shared" si="132"/>
        <v>0</v>
      </c>
      <c r="J310" s="70">
        <f t="shared" si="125"/>
        <v>119107.15999999999</v>
      </c>
      <c r="K310" s="69"/>
    </row>
    <row r="311" spans="1:12" x14ac:dyDescent="0.2">
      <c r="A311" s="75">
        <v>2</v>
      </c>
      <c r="B311" s="67">
        <v>3</v>
      </c>
      <c r="C311" s="67">
        <v>9</v>
      </c>
      <c r="D311" s="67">
        <v>2</v>
      </c>
      <c r="E311" s="82" t="s">
        <v>178</v>
      </c>
      <c r="F311" s="68" t="s">
        <v>274</v>
      </c>
      <c r="G311" s="64"/>
      <c r="H311" s="64">
        <v>119107.15999999999</v>
      </c>
      <c r="I311" s="64"/>
      <c r="J311" s="64">
        <f t="shared" si="125"/>
        <v>119107.15999999999</v>
      </c>
      <c r="K311" s="63">
        <f t="shared" ref="K311" si="133">J311/$J$25</f>
        <v>1.1510666416844619E-3</v>
      </c>
      <c r="L311" s="179"/>
    </row>
    <row r="312" spans="1:12" x14ac:dyDescent="0.2">
      <c r="A312" s="76">
        <v>2</v>
      </c>
      <c r="B312" s="73">
        <v>3</v>
      </c>
      <c r="C312" s="73">
        <v>9</v>
      </c>
      <c r="D312" s="73">
        <v>3</v>
      </c>
      <c r="E312" s="73"/>
      <c r="F312" s="74" t="s">
        <v>273</v>
      </c>
      <c r="G312" s="70">
        <f>SUM(G313)</f>
        <v>0</v>
      </c>
      <c r="H312" s="70">
        <f t="shared" ref="H312:I312" si="134">SUM(H313)</f>
        <v>14835495.790000007</v>
      </c>
      <c r="I312" s="70">
        <f t="shared" si="134"/>
        <v>0</v>
      </c>
      <c r="J312" s="70">
        <f t="shared" si="125"/>
        <v>14835495.790000007</v>
      </c>
      <c r="K312" s="69"/>
    </row>
    <row r="313" spans="1:12" x14ac:dyDescent="0.2">
      <c r="A313" s="75">
        <v>2</v>
      </c>
      <c r="B313" s="67">
        <v>3</v>
      </c>
      <c r="C313" s="67">
        <v>9</v>
      </c>
      <c r="D313" s="67">
        <v>3</v>
      </c>
      <c r="E313" s="82" t="s">
        <v>178</v>
      </c>
      <c r="F313" s="68" t="s">
        <v>273</v>
      </c>
      <c r="G313" s="64"/>
      <c r="H313" s="64">
        <v>14835495.790000007</v>
      </c>
      <c r="I313" s="64"/>
      <c r="J313" s="64">
        <f t="shared" si="125"/>
        <v>14835495.790000007</v>
      </c>
      <c r="K313" s="63">
        <f t="shared" ref="K313" si="135">J313/$J$25</f>
        <v>0.14337210556207772</v>
      </c>
    </row>
    <row r="314" spans="1:12" x14ac:dyDescent="0.2">
      <c r="A314" s="76">
        <v>2</v>
      </c>
      <c r="B314" s="73">
        <v>3</v>
      </c>
      <c r="C314" s="73">
        <v>9</v>
      </c>
      <c r="D314" s="73">
        <v>4</v>
      </c>
      <c r="E314" s="73"/>
      <c r="F314" s="74" t="s">
        <v>272</v>
      </c>
      <c r="G314" s="70">
        <f>SUM(G315)</f>
        <v>0</v>
      </c>
      <c r="H314" s="70">
        <f t="shared" ref="H314:I314" si="136">SUM(H315)</f>
        <v>0</v>
      </c>
      <c r="I314" s="70">
        <f t="shared" si="136"/>
        <v>0</v>
      </c>
      <c r="J314" s="70">
        <f t="shared" si="125"/>
        <v>0</v>
      </c>
      <c r="K314" s="69"/>
    </row>
    <row r="315" spans="1:12" x14ac:dyDescent="0.2">
      <c r="A315" s="75">
        <v>2</v>
      </c>
      <c r="B315" s="67">
        <v>3</v>
      </c>
      <c r="C315" s="67">
        <v>9</v>
      </c>
      <c r="D315" s="67">
        <v>4</v>
      </c>
      <c r="E315" s="82" t="s">
        <v>178</v>
      </c>
      <c r="F315" s="68" t="s">
        <v>272</v>
      </c>
      <c r="G315" s="64"/>
      <c r="H315" s="64"/>
      <c r="I315" s="64"/>
      <c r="J315" s="64">
        <f t="shared" si="125"/>
        <v>0</v>
      </c>
      <c r="K315" s="63">
        <f t="shared" ref="K315" si="137">J315/$J$25</f>
        <v>0</v>
      </c>
    </row>
    <row r="316" spans="1:12" x14ac:dyDescent="0.2">
      <c r="A316" s="76">
        <v>2</v>
      </c>
      <c r="B316" s="73">
        <v>3</v>
      </c>
      <c r="C316" s="73">
        <v>9</v>
      </c>
      <c r="D316" s="73">
        <v>5</v>
      </c>
      <c r="E316" s="73"/>
      <c r="F316" s="74" t="s">
        <v>271</v>
      </c>
      <c r="G316" s="70">
        <f>SUM(G317)</f>
        <v>0</v>
      </c>
      <c r="H316" s="70">
        <f t="shared" ref="H316:I316" si="138">SUM(H317)</f>
        <v>524220.9</v>
      </c>
      <c r="I316" s="70">
        <f t="shared" si="138"/>
        <v>0</v>
      </c>
      <c r="J316" s="70">
        <f t="shared" si="125"/>
        <v>524220.9</v>
      </c>
      <c r="K316" s="69"/>
    </row>
    <row r="317" spans="1:12" x14ac:dyDescent="0.2">
      <c r="A317" s="75">
        <v>2</v>
      </c>
      <c r="B317" s="67">
        <v>3</v>
      </c>
      <c r="C317" s="67">
        <v>9</v>
      </c>
      <c r="D317" s="67">
        <v>5</v>
      </c>
      <c r="E317" s="82" t="s">
        <v>178</v>
      </c>
      <c r="F317" s="68" t="s">
        <v>271</v>
      </c>
      <c r="G317" s="64"/>
      <c r="H317" s="64">
        <v>524220.9</v>
      </c>
      <c r="I317" s="64"/>
      <c r="J317" s="64">
        <f t="shared" si="125"/>
        <v>524220.9</v>
      </c>
      <c r="K317" s="63">
        <f t="shared" ref="K317" si="139">J317/$J$25</f>
        <v>5.0661370052296284E-3</v>
      </c>
    </row>
    <row r="318" spans="1:12" x14ac:dyDescent="0.2">
      <c r="A318" s="76">
        <v>2</v>
      </c>
      <c r="B318" s="73">
        <v>3</v>
      </c>
      <c r="C318" s="73">
        <v>9</v>
      </c>
      <c r="D318" s="73">
        <v>6</v>
      </c>
      <c r="E318" s="73"/>
      <c r="F318" s="74" t="s">
        <v>270</v>
      </c>
      <c r="G318" s="70">
        <f>SUM(G319)</f>
        <v>0</v>
      </c>
      <c r="H318" s="70">
        <f t="shared" ref="H318:I318" si="140">SUM(H319)</f>
        <v>535479.39</v>
      </c>
      <c r="I318" s="70">
        <f t="shared" si="140"/>
        <v>0</v>
      </c>
      <c r="J318" s="70">
        <f t="shared" si="125"/>
        <v>535479.39</v>
      </c>
      <c r="K318" s="69"/>
    </row>
    <row r="319" spans="1:12" x14ac:dyDescent="0.2">
      <c r="A319" s="75">
        <v>2</v>
      </c>
      <c r="B319" s="67">
        <v>3</v>
      </c>
      <c r="C319" s="67">
        <v>9</v>
      </c>
      <c r="D319" s="67">
        <v>6</v>
      </c>
      <c r="E319" s="82" t="s">
        <v>178</v>
      </c>
      <c r="F319" s="68" t="s">
        <v>270</v>
      </c>
      <c r="G319" s="64"/>
      <c r="H319" s="64">
        <v>535479.39</v>
      </c>
      <c r="I319" s="64"/>
      <c r="J319" s="64">
        <f t="shared" si="125"/>
        <v>535479.39</v>
      </c>
      <c r="K319" s="63">
        <f t="shared" ref="K319" si="141">J319/$J$25</f>
        <v>5.1749404749348764E-3</v>
      </c>
    </row>
    <row r="320" spans="1:12" x14ac:dyDescent="0.2">
      <c r="A320" s="76">
        <v>2</v>
      </c>
      <c r="B320" s="73">
        <v>3</v>
      </c>
      <c r="C320" s="73">
        <v>9</v>
      </c>
      <c r="D320" s="73">
        <v>7</v>
      </c>
      <c r="E320" s="73"/>
      <c r="F320" s="74" t="s">
        <v>269</v>
      </c>
      <c r="G320" s="70">
        <f>SUM(G321)</f>
        <v>0</v>
      </c>
      <c r="H320" s="70">
        <f t="shared" ref="H320:I320" si="142">SUM(H321)</f>
        <v>0</v>
      </c>
      <c r="I320" s="70">
        <f t="shared" si="142"/>
        <v>0</v>
      </c>
      <c r="J320" s="70">
        <f t="shared" si="125"/>
        <v>0</v>
      </c>
      <c r="K320" s="69"/>
    </row>
    <row r="321" spans="1:11" x14ac:dyDescent="0.2">
      <c r="A321" s="75">
        <v>2</v>
      </c>
      <c r="B321" s="67">
        <v>3</v>
      </c>
      <c r="C321" s="67">
        <v>9</v>
      </c>
      <c r="D321" s="67">
        <v>7</v>
      </c>
      <c r="E321" s="82" t="s">
        <v>178</v>
      </c>
      <c r="F321" s="68" t="s">
        <v>269</v>
      </c>
      <c r="G321" s="64"/>
      <c r="H321" s="64"/>
      <c r="I321" s="64"/>
      <c r="J321" s="64">
        <f t="shared" si="125"/>
        <v>0</v>
      </c>
      <c r="K321" s="63">
        <f t="shared" ref="K321" si="143">J321/$J$25</f>
        <v>0</v>
      </c>
    </row>
    <row r="322" spans="1:11" x14ac:dyDescent="0.2">
      <c r="A322" s="76">
        <v>2</v>
      </c>
      <c r="B322" s="73">
        <v>3</v>
      </c>
      <c r="C322" s="73">
        <v>9</v>
      </c>
      <c r="D322" s="73">
        <v>8</v>
      </c>
      <c r="E322" s="73"/>
      <c r="F322" s="74" t="s">
        <v>268</v>
      </c>
      <c r="G322" s="70">
        <f>SUM(G323:G324)</f>
        <v>0</v>
      </c>
      <c r="H322" s="70">
        <f t="shared" ref="H322:I322" si="144">SUM(H323:H324)</f>
        <v>0</v>
      </c>
      <c r="I322" s="70">
        <f t="shared" si="144"/>
        <v>0</v>
      </c>
      <c r="J322" s="70">
        <f t="shared" si="125"/>
        <v>0</v>
      </c>
      <c r="K322" s="69"/>
    </row>
    <row r="323" spans="1:11" x14ac:dyDescent="0.2">
      <c r="A323" s="75">
        <v>2</v>
      </c>
      <c r="B323" s="67">
        <v>3</v>
      </c>
      <c r="C323" s="67">
        <v>9</v>
      </c>
      <c r="D323" s="67">
        <v>8</v>
      </c>
      <c r="E323" s="82" t="s">
        <v>178</v>
      </c>
      <c r="F323" s="68" t="s">
        <v>267</v>
      </c>
      <c r="G323" s="64"/>
      <c r="H323" s="64"/>
      <c r="I323" s="64"/>
      <c r="J323" s="64">
        <f t="shared" si="125"/>
        <v>0</v>
      </c>
      <c r="K323" s="63">
        <f t="shared" ref="K323:K324" si="145">J323/$J$25</f>
        <v>0</v>
      </c>
    </row>
    <row r="324" spans="1:11" x14ac:dyDescent="0.2">
      <c r="A324" s="75">
        <v>2</v>
      </c>
      <c r="B324" s="67">
        <v>3</v>
      </c>
      <c r="C324" s="67">
        <v>9</v>
      </c>
      <c r="D324" s="67">
        <v>8</v>
      </c>
      <c r="E324" s="82" t="s">
        <v>182</v>
      </c>
      <c r="F324" s="68" t="s">
        <v>266</v>
      </c>
      <c r="G324" s="64"/>
      <c r="H324" s="64"/>
      <c r="I324" s="64"/>
      <c r="J324" s="64">
        <f t="shared" si="125"/>
        <v>0</v>
      </c>
      <c r="K324" s="63">
        <f t="shared" si="145"/>
        <v>0</v>
      </c>
    </row>
    <row r="325" spans="1:11" x14ac:dyDescent="0.2">
      <c r="A325" s="76">
        <v>2</v>
      </c>
      <c r="B325" s="73">
        <v>3</v>
      </c>
      <c r="C325" s="73">
        <v>9</v>
      </c>
      <c r="D325" s="73">
        <v>9</v>
      </c>
      <c r="E325" s="73"/>
      <c r="F325" s="74" t="s">
        <v>265</v>
      </c>
      <c r="G325" s="70">
        <f>SUM(G326)</f>
        <v>0</v>
      </c>
      <c r="H325" s="70">
        <f t="shared" ref="H325:I325" si="146">SUM(H326)</f>
        <v>0</v>
      </c>
      <c r="I325" s="70">
        <f t="shared" si="146"/>
        <v>0</v>
      </c>
      <c r="J325" s="70">
        <f t="shared" si="125"/>
        <v>0</v>
      </c>
      <c r="K325" s="69"/>
    </row>
    <row r="326" spans="1:11" x14ac:dyDescent="0.2">
      <c r="A326" s="75">
        <v>2</v>
      </c>
      <c r="B326" s="67">
        <v>3</v>
      </c>
      <c r="C326" s="67">
        <v>9</v>
      </c>
      <c r="D326" s="67">
        <v>9</v>
      </c>
      <c r="E326" s="82" t="s">
        <v>178</v>
      </c>
      <c r="F326" s="68" t="s">
        <v>265</v>
      </c>
      <c r="G326" s="64"/>
      <c r="H326" s="64"/>
      <c r="I326" s="64"/>
      <c r="J326" s="64">
        <f t="shared" si="125"/>
        <v>0</v>
      </c>
      <c r="K326" s="63">
        <f t="shared" ref="K326" si="147">J326/$J$25</f>
        <v>0</v>
      </c>
    </row>
    <row r="327" spans="1:11" x14ac:dyDescent="0.2">
      <c r="A327" s="81">
        <v>2</v>
      </c>
      <c r="B327" s="80">
        <v>4</v>
      </c>
      <c r="C327" s="80">
        <v>1</v>
      </c>
      <c r="D327" s="80">
        <v>2</v>
      </c>
      <c r="E327" s="80"/>
      <c r="F327" s="79" t="s">
        <v>264</v>
      </c>
      <c r="G327" s="78">
        <f>G328+G329+G330+G331+G332</f>
        <v>0</v>
      </c>
      <c r="H327" s="78">
        <f t="shared" ref="H327:I327" si="148">H328+H329+H330+H331+H332</f>
        <v>172500</v>
      </c>
      <c r="I327" s="78">
        <f t="shared" si="148"/>
        <v>0</v>
      </c>
      <c r="J327" s="78">
        <f t="shared" si="125"/>
        <v>172500</v>
      </c>
      <c r="K327" s="77">
        <f>+J327/J25</f>
        <v>1.6670617928474635E-3</v>
      </c>
    </row>
    <row r="328" spans="1:11" x14ac:dyDescent="0.2">
      <c r="A328" s="75">
        <v>2</v>
      </c>
      <c r="B328" s="67">
        <v>4</v>
      </c>
      <c r="C328" s="67">
        <v>1</v>
      </c>
      <c r="D328" s="67">
        <v>2</v>
      </c>
      <c r="E328" s="82" t="s">
        <v>178</v>
      </c>
      <c r="F328" s="68" t="s">
        <v>263</v>
      </c>
      <c r="G328" s="64"/>
      <c r="H328" s="64"/>
      <c r="I328" s="64"/>
      <c r="J328" s="64">
        <f t="shared" si="125"/>
        <v>0</v>
      </c>
      <c r="K328" s="63">
        <f t="shared" ref="K328:K333" si="149">J328/$J$25</f>
        <v>0</v>
      </c>
    </row>
    <row r="329" spans="1:11" x14ac:dyDescent="0.2">
      <c r="A329" s="75">
        <v>2</v>
      </c>
      <c r="B329" s="67">
        <v>4</v>
      </c>
      <c r="C329" s="67">
        <v>1</v>
      </c>
      <c r="D329" s="67">
        <v>2</v>
      </c>
      <c r="E329" s="82" t="s">
        <v>182</v>
      </c>
      <c r="F329" s="68" t="s">
        <v>262</v>
      </c>
      <c r="G329" s="64"/>
      <c r="H329" s="64">
        <v>172500</v>
      </c>
      <c r="I329" s="64"/>
      <c r="J329" s="64">
        <f t="shared" si="125"/>
        <v>172500</v>
      </c>
      <c r="K329" s="63">
        <f t="shared" si="149"/>
        <v>1.6670617928474635E-3</v>
      </c>
    </row>
    <row r="330" spans="1:11" x14ac:dyDescent="0.2">
      <c r="A330" s="75">
        <v>2</v>
      </c>
      <c r="B330" s="67">
        <v>4</v>
      </c>
      <c r="C330" s="67">
        <v>1</v>
      </c>
      <c r="D330" s="67">
        <v>2</v>
      </c>
      <c r="E330" s="82" t="s">
        <v>180</v>
      </c>
      <c r="F330" s="68" t="s">
        <v>261</v>
      </c>
      <c r="G330" s="64"/>
      <c r="H330" s="64"/>
      <c r="I330" s="64"/>
      <c r="J330" s="64">
        <f t="shared" si="125"/>
        <v>0</v>
      </c>
      <c r="K330" s="63">
        <f t="shared" si="149"/>
        <v>0</v>
      </c>
    </row>
    <row r="331" spans="1:11" x14ac:dyDescent="0.2">
      <c r="A331" s="75">
        <v>2</v>
      </c>
      <c r="B331" s="67">
        <v>4</v>
      </c>
      <c r="C331" s="67">
        <v>1</v>
      </c>
      <c r="D331" s="67">
        <v>2</v>
      </c>
      <c r="E331" s="82" t="s">
        <v>260</v>
      </c>
      <c r="F331" s="68" t="s">
        <v>259</v>
      </c>
      <c r="G331" s="64"/>
      <c r="H331" s="64"/>
      <c r="I331" s="64"/>
      <c r="J331" s="64">
        <f t="shared" si="125"/>
        <v>0</v>
      </c>
      <c r="K331" s="63">
        <f t="shared" si="149"/>
        <v>0</v>
      </c>
    </row>
    <row r="332" spans="1:11" x14ac:dyDescent="0.2">
      <c r="A332" s="75">
        <v>2</v>
      </c>
      <c r="B332" s="67">
        <v>4</v>
      </c>
      <c r="C332" s="67">
        <v>1</v>
      </c>
      <c r="D332" s="67">
        <v>2</v>
      </c>
      <c r="E332" s="82" t="s">
        <v>258</v>
      </c>
      <c r="F332" s="68" t="s">
        <v>257</v>
      </c>
      <c r="G332" s="64"/>
      <c r="H332" s="64"/>
      <c r="I332" s="64"/>
      <c r="J332" s="64">
        <f t="shared" si="125"/>
        <v>0</v>
      </c>
      <c r="K332" s="63">
        <f t="shared" si="149"/>
        <v>0</v>
      </c>
    </row>
    <row r="333" spans="1:11" x14ac:dyDescent="0.2">
      <c r="A333" s="81">
        <v>2</v>
      </c>
      <c r="B333" s="80">
        <v>6</v>
      </c>
      <c r="C333" s="80"/>
      <c r="D333" s="80"/>
      <c r="E333" s="80"/>
      <c r="F333" s="79" t="s">
        <v>256</v>
      </c>
      <c r="G333" s="78">
        <f>G334+G345+G354+G363+G380+G398+G403+G422+G445</f>
        <v>0</v>
      </c>
      <c r="H333" s="78">
        <f t="shared" ref="H333:I333" si="150">H334+H345+H354+H363+H380+H398+H403+H422+H445</f>
        <v>3471927.33</v>
      </c>
      <c r="I333" s="78">
        <f t="shared" si="150"/>
        <v>0</v>
      </c>
      <c r="J333" s="78">
        <f t="shared" si="125"/>
        <v>3471927.33</v>
      </c>
      <c r="K333" s="77">
        <f t="shared" si="149"/>
        <v>3.355314434426613E-2</v>
      </c>
    </row>
    <row r="334" spans="1:11" x14ac:dyDescent="0.2">
      <c r="A334" s="85">
        <v>2</v>
      </c>
      <c r="B334" s="80">
        <v>6</v>
      </c>
      <c r="C334" s="80">
        <v>1</v>
      </c>
      <c r="D334" s="80"/>
      <c r="E334" s="80"/>
      <c r="F334" s="79" t="s">
        <v>255</v>
      </c>
      <c r="G334" s="78">
        <f>+G335+G337+G339+G341+G343</f>
        <v>0</v>
      </c>
      <c r="H334" s="78">
        <f t="shared" ref="H334:I334" si="151">+H335+H337+H339+H341+H343</f>
        <v>631937.19999999995</v>
      </c>
      <c r="I334" s="78">
        <f t="shared" si="151"/>
        <v>0</v>
      </c>
      <c r="J334" s="78">
        <f t="shared" si="125"/>
        <v>631937.19999999995</v>
      </c>
      <c r="K334" s="77"/>
    </row>
    <row r="335" spans="1:11" x14ac:dyDescent="0.2">
      <c r="A335" s="74">
        <v>2</v>
      </c>
      <c r="B335" s="73">
        <v>6</v>
      </c>
      <c r="C335" s="73">
        <v>1</v>
      </c>
      <c r="D335" s="73">
        <v>1</v>
      </c>
      <c r="E335" s="73"/>
      <c r="F335" s="71" t="s">
        <v>254</v>
      </c>
      <c r="G335" s="70">
        <f>SUM(G336)</f>
        <v>0</v>
      </c>
      <c r="H335" s="70">
        <f t="shared" ref="H335:I335" si="152">SUM(H336)</f>
        <v>0</v>
      </c>
      <c r="I335" s="70">
        <f t="shared" si="152"/>
        <v>0</v>
      </c>
      <c r="J335" s="70">
        <f t="shared" si="125"/>
        <v>0</v>
      </c>
      <c r="K335" s="69"/>
    </row>
    <row r="336" spans="1:11" x14ac:dyDescent="0.2">
      <c r="A336" s="68">
        <v>2</v>
      </c>
      <c r="B336" s="67">
        <v>6</v>
      </c>
      <c r="C336" s="67">
        <v>1</v>
      </c>
      <c r="D336" s="67">
        <v>1</v>
      </c>
      <c r="E336" s="82" t="s">
        <v>178</v>
      </c>
      <c r="F336" s="66" t="s">
        <v>254</v>
      </c>
      <c r="G336" s="65"/>
      <c r="H336" s="64"/>
      <c r="I336" s="65"/>
      <c r="J336" s="64">
        <f t="shared" si="125"/>
        <v>0</v>
      </c>
      <c r="K336" s="63">
        <f t="shared" ref="K336" si="153">J336/$J$25</f>
        <v>0</v>
      </c>
    </row>
    <row r="337" spans="1:11" x14ac:dyDescent="0.2">
      <c r="A337" s="74">
        <v>2</v>
      </c>
      <c r="B337" s="73">
        <v>6</v>
      </c>
      <c r="C337" s="73">
        <v>1</v>
      </c>
      <c r="D337" s="73">
        <v>2</v>
      </c>
      <c r="E337" s="73"/>
      <c r="F337" s="71" t="s">
        <v>253</v>
      </c>
      <c r="G337" s="70">
        <f>SUM(G338)</f>
        <v>0</v>
      </c>
      <c r="H337" s="70">
        <f t="shared" ref="H337:I337" si="154">SUM(H338)</f>
        <v>0</v>
      </c>
      <c r="I337" s="70">
        <f t="shared" si="154"/>
        <v>0</v>
      </c>
      <c r="J337" s="70">
        <f t="shared" si="125"/>
        <v>0</v>
      </c>
      <c r="K337" s="69"/>
    </row>
    <row r="338" spans="1:11" x14ac:dyDescent="0.2">
      <c r="A338" s="68">
        <v>2</v>
      </c>
      <c r="B338" s="67">
        <v>6</v>
      </c>
      <c r="C338" s="67">
        <v>1</v>
      </c>
      <c r="D338" s="67">
        <v>2</v>
      </c>
      <c r="E338" s="82" t="s">
        <v>178</v>
      </c>
      <c r="F338" s="66" t="s">
        <v>253</v>
      </c>
      <c r="G338" s="65"/>
      <c r="H338" s="65"/>
      <c r="I338" s="65"/>
      <c r="J338" s="64">
        <f t="shared" si="125"/>
        <v>0</v>
      </c>
      <c r="K338" s="63">
        <f t="shared" ref="K338" si="155">J338/$J$25</f>
        <v>0</v>
      </c>
    </row>
    <row r="339" spans="1:11" x14ac:dyDescent="0.2">
      <c r="A339" s="74">
        <v>2</v>
      </c>
      <c r="B339" s="73">
        <v>6</v>
      </c>
      <c r="C339" s="73">
        <v>1</v>
      </c>
      <c r="D339" s="73">
        <v>3</v>
      </c>
      <c r="E339" s="73"/>
      <c r="F339" s="71" t="s">
        <v>252</v>
      </c>
      <c r="G339" s="70">
        <f>SUM(G340)</f>
        <v>0</v>
      </c>
      <c r="H339" s="194">
        <f t="shared" ref="H339:I339" si="156">SUM(H340)</f>
        <v>453462.2</v>
      </c>
      <c r="I339" s="70">
        <f t="shared" si="156"/>
        <v>0</v>
      </c>
      <c r="J339" s="70">
        <f t="shared" si="125"/>
        <v>453462.2</v>
      </c>
      <c r="K339" s="69"/>
    </row>
    <row r="340" spans="1:11" x14ac:dyDescent="0.2">
      <c r="A340" s="68">
        <v>2</v>
      </c>
      <c r="B340" s="67">
        <v>6</v>
      </c>
      <c r="C340" s="67">
        <v>1</v>
      </c>
      <c r="D340" s="67">
        <v>3</v>
      </c>
      <c r="E340" s="82" t="s">
        <v>178</v>
      </c>
      <c r="F340" s="66" t="s">
        <v>252</v>
      </c>
      <c r="G340" s="65"/>
      <c r="H340" s="64">
        <v>453462.2</v>
      </c>
      <c r="I340" s="65"/>
      <c r="J340" s="64">
        <f t="shared" si="125"/>
        <v>453462.2</v>
      </c>
      <c r="K340" s="63">
        <f t="shared" ref="K340" si="157">J340/$J$25</f>
        <v>4.3823159891046666E-3</v>
      </c>
    </row>
    <row r="341" spans="1:11" x14ac:dyDescent="0.2">
      <c r="A341" s="74">
        <v>2</v>
      </c>
      <c r="B341" s="73">
        <v>6</v>
      </c>
      <c r="C341" s="73">
        <v>1</v>
      </c>
      <c r="D341" s="73">
        <v>4</v>
      </c>
      <c r="E341" s="73"/>
      <c r="F341" s="71" t="s">
        <v>251</v>
      </c>
      <c r="G341" s="70">
        <f>SUM(G342)</f>
        <v>0</v>
      </c>
      <c r="H341" s="70">
        <f t="shared" ref="H341:I341" si="158">SUM(H342)</f>
        <v>178475</v>
      </c>
      <c r="I341" s="70">
        <f t="shared" si="158"/>
        <v>0</v>
      </c>
      <c r="J341" s="70">
        <f t="shared" si="125"/>
        <v>178475</v>
      </c>
      <c r="K341" s="69"/>
    </row>
    <row r="342" spans="1:11" x14ac:dyDescent="0.2">
      <c r="A342" s="68">
        <v>2</v>
      </c>
      <c r="B342" s="67">
        <v>6</v>
      </c>
      <c r="C342" s="67">
        <v>1</v>
      </c>
      <c r="D342" s="67">
        <v>4</v>
      </c>
      <c r="E342" s="82" t="s">
        <v>178</v>
      </c>
      <c r="F342" s="66" t="s">
        <v>251</v>
      </c>
      <c r="G342" s="65"/>
      <c r="H342" s="64">
        <v>178475</v>
      </c>
      <c r="I342" s="65"/>
      <c r="J342" s="64">
        <f t="shared" si="125"/>
        <v>178475</v>
      </c>
      <c r="K342" s="63">
        <f t="shared" ref="K342" si="159">J342/$J$25</f>
        <v>1.7248049477011655E-3</v>
      </c>
    </row>
    <row r="343" spans="1:11" ht="25.5" x14ac:dyDescent="0.2">
      <c r="A343" s="74">
        <v>2</v>
      </c>
      <c r="B343" s="73">
        <v>6</v>
      </c>
      <c r="C343" s="73">
        <v>1</v>
      </c>
      <c r="D343" s="73">
        <v>9</v>
      </c>
      <c r="E343" s="73"/>
      <c r="F343" s="71" t="s">
        <v>250</v>
      </c>
      <c r="G343" s="70">
        <f>SUM(G344)</f>
        <v>0</v>
      </c>
      <c r="H343" s="70">
        <f t="shared" ref="H343:I343" si="160">SUM(H344)</f>
        <v>0</v>
      </c>
      <c r="I343" s="70">
        <f t="shared" si="160"/>
        <v>0</v>
      </c>
      <c r="J343" s="70">
        <f t="shared" si="125"/>
        <v>0</v>
      </c>
      <c r="K343" s="69"/>
    </row>
    <row r="344" spans="1:11" ht="25.5" x14ac:dyDescent="0.2">
      <c r="A344" s="68">
        <v>2</v>
      </c>
      <c r="B344" s="67">
        <v>6</v>
      </c>
      <c r="C344" s="67">
        <v>1</v>
      </c>
      <c r="D344" s="67">
        <v>9</v>
      </c>
      <c r="E344" s="82" t="s">
        <v>178</v>
      </c>
      <c r="F344" s="66" t="s">
        <v>250</v>
      </c>
      <c r="G344" s="65"/>
      <c r="H344" s="64"/>
      <c r="I344" s="65"/>
      <c r="J344" s="64">
        <f t="shared" si="125"/>
        <v>0</v>
      </c>
      <c r="K344" s="63">
        <f t="shared" ref="K344" si="161">J344/$J$25</f>
        <v>0</v>
      </c>
    </row>
    <row r="345" spans="1:11" x14ac:dyDescent="0.2">
      <c r="A345" s="87">
        <v>2</v>
      </c>
      <c r="B345" s="87">
        <v>6</v>
      </c>
      <c r="C345" s="87">
        <v>2</v>
      </c>
      <c r="D345" s="87"/>
      <c r="E345" s="87"/>
      <c r="F345" s="86" t="s">
        <v>249</v>
      </c>
      <c r="G345" s="78">
        <f>+G346+G348+G350+G352</f>
        <v>0</v>
      </c>
      <c r="H345" s="78">
        <f t="shared" ref="H345:I345" si="162">+H346+H348+H350+H352</f>
        <v>0</v>
      </c>
      <c r="I345" s="78">
        <f t="shared" si="162"/>
        <v>0</v>
      </c>
      <c r="J345" s="78">
        <f t="shared" si="125"/>
        <v>0</v>
      </c>
      <c r="K345" s="77"/>
    </row>
    <row r="346" spans="1:11" x14ac:dyDescent="0.2">
      <c r="A346" s="76">
        <v>2</v>
      </c>
      <c r="B346" s="73">
        <v>6</v>
      </c>
      <c r="C346" s="73">
        <v>2</v>
      </c>
      <c r="D346" s="73">
        <v>1</v>
      </c>
      <c r="E346" s="72"/>
      <c r="F346" s="71" t="s">
        <v>248</v>
      </c>
      <c r="G346" s="70">
        <f>SUM(G347)</f>
        <v>0</v>
      </c>
      <c r="H346" s="70">
        <f t="shared" ref="H346:I346" si="163">SUM(H347)</f>
        <v>0</v>
      </c>
      <c r="I346" s="70">
        <f t="shared" si="163"/>
        <v>0</v>
      </c>
      <c r="J346" s="70">
        <f t="shared" si="125"/>
        <v>0</v>
      </c>
      <c r="K346" s="69"/>
    </row>
    <row r="347" spans="1:11" x14ac:dyDescent="0.2">
      <c r="A347" s="75">
        <v>2</v>
      </c>
      <c r="B347" s="67">
        <v>6</v>
      </c>
      <c r="C347" s="67">
        <v>2</v>
      </c>
      <c r="D347" s="67">
        <v>1</v>
      </c>
      <c r="E347" s="82" t="s">
        <v>178</v>
      </c>
      <c r="F347" s="66" t="s">
        <v>248</v>
      </c>
      <c r="G347" s="65"/>
      <c r="H347" s="65"/>
      <c r="I347" s="65"/>
      <c r="J347" s="64">
        <f t="shared" si="125"/>
        <v>0</v>
      </c>
      <c r="K347" s="63">
        <f t="shared" ref="K347" si="164">J347/$J$25</f>
        <v>0</v>
      </c>
    </row>
    <row r="348" spans="1:11" x14ac:dyDescent="0.2">
      <c r="A348" s="76">
        <v>2</v>
      </c>
      <c r="B348" s="73">
        <v>6</v>
      </c>
      <c r="C348" s="73">
        <v>2</v>
      </c>
      <c r="D348" s="73">
        <v>2</v>
      </c>
      <c r="E348" s="72"/>
      <c r="F348" s="71" t="s">
        <v>247</v>
      </c>
      <c r="G348" s="70">
        <f>SUM(G349)</f>
        <v>0</v>
      </c>
      <c r="H348" s="70">
        <f t="shared" ref="H348:I348" si="165">SUM(H349)</f>
        <v>0</v>
      </c>
      <c r="I348" s="70">
        <f t="shared" si="165"/>
        <v>0</v>
      </c>
      <c r="J348" s="70">
        <f t="shared" si="125"/>
        <v>0</v>
      </c>
      <c r="K348" s="69"/>
    </row>
    <row r="349" spans="1:11" x14ac:dyDescent="0.2">
      <c r="A349" s="75">
        <v>2</v>
      </c>
      <c r="B349" s="67">
        <v>6</v>
      </c>
      <c r="C349" s="67">
        <v>2</v>
      </c>
      <c r="D349" s="67">
        <v>2</v>
      </c>
      <c r="E349" s="82" t="s">
        <v>178</v>
      </c>
      <c r="F349" s="66" t="s">
        <v>247</v>
      </c>
      <c r="G349" s="65"/>
      <c r="H349" s="65"/>
      <c r="I349" s="65"/>
      <c r="J349" s="64">
        <f t="shared" si="125"/>
        <v>0</v>
      </c>
      <c r="K349" s="63">
        <f t="shared" ref="K349" si="166">J349/$J$25</f>
        <v>0</v>
      </c>
    </row>
    <row r="350" spans="1:11" x14ac:dyDescent="0.2">
      <c r="A350" s="76">
        <v>2</v>
      </c>
      <c r="B350" s="73">
        <v>6</v>
      </c>
      <c r="C350" s="73">
        <v>2</v>
      </c>
      <c r="D350" s="73">
        <v>3</v>
      </c>
      <c r="E350" s="72"/>
      <c r="F350" s="71" t="s">
        <v>246</v>
      </c>
      <c r="G350" s="70">
        <f>SUM(G351)</f>
        <v>0</v>
      </c>
      <c r="H350" s="70">
        <f t="shared" ref="H350:I350" si="167">SUM(H351)</f>
        <v>0</v>
      </c>
      <c r="I350" s="70">
        <f t="shared" si="167"/>
        <v>0</v>
      </c>
      <c r="J350" s="70">
        <f t="shared" si="125"/>
        <v>0</v>
      </c>
      <c r="K350" s="69"/>
    </row>
    <row r="351" spans="1:11" x14ac:dyDescent="0.2">
      <c r="A351" s="75">
        <v>2</v>
      </c>
      <c r="B351" s="67">
        <v>6</v>
      </c>
      <c r="C351" s="67">
        <v>2</v>
      </c>
      <c r="D351" s="67">
        <v>3</v>
      </c>
      <c r="E351" s="82" t="s">
        <v>178</v>
      </c>
      <c r="F351" s="66" t="s">
        <v>246</v>
      </c>
      <c r="G351" s="65"/>
      <c r="H351" s="65"/>
      <c r="I351" s="65"/>
      <c r="J351" s="64">
        <f t="shared" si="125"/>
        <v>0</v>
      </c>
      <c r="K351" s="63">
        <f t="shared" ref="K351" si="168">J351/$J$25</f>
        <v>0</v>
      </c>
    </row>
    <row r="352" spans="1:11" x14ac:dyDescent="0.2">
      <c r="A352" s="76">
        <v>2</v>
      </c>
      <c r="B352" s="73">
        <v>6</v>
      </c>
      <c r="C352" s="73">
        <v>2</v>
      </c>
      <c r="D352" s="73">
        <v>4</v>
      </c>
      <c r="E352" s="72"/>
      <c r="F352" s="71" t="s">
        <v>245</v>
      </c>
      <c r="G352" s="70">
        <f>SUM(G353)</f>
        <v>0</v>
      </c>
      <c r="H352" s="70">
        <f t="shared" ref="H352:I352" si="169">SUM(H353)</f>
        <v>0</v>
      </c>
      <c r="I352" s="70">
        <f t="shared" si="169"/>
        <v>0</v>
      </c>
      <c r="J352" s="70">
        <f t="shared" si="125"/>
        <v>0</v>
      </c>
      <c r="K352" s="69"/>
    </row>
    <row r="353" spans="1:11" x14ac:dyDescent="0.2">
      <c r="A353" s="75">
        <v>2</v>
      </c>
      <c r="B353" s="67">
        <v>6</v>
      </c>
      <c r="C353" s="67">
        <v>2</v>
      </c>
      <c r="D353" s="67">
        <v>4</v>
      </c>
      <c r="E353" s="82" t="s">
        <v>178</v>
      </c>
      <c r="F353" s="66" t="s">
        <v>245</v>
      </c>
      <c r="G353" s="65"/>
      <c r="H353" s="65"/>
      <c r="I353" s="65"/>
      <c r="J353" s="64">
        <f t="shared" si="125"/>
        <v>0</v>
      </c>
      <c r="K353" s="63">
        <f t="shared" ref="K353" si="170">J353/$J$25</f>
        <v>0</v>
      </c>
    </row>
    <row r="354" spans="1:11" x14ac:dyDescent="0.2">
      <c r="A354" s="87">
        <v>2</v>
      </c>
      <c r="B354" s="87">
        <v>6</v>
      </c>
      <c r="C354" s="87">
        <v>3</v>
      </c>
      <c r="D354" s="87"/>
      <c r="E354" s="87"/>
      <c r="F354" s="86" t="s">
        <v>244</v>
      </c>
      <c r="G354" s="78">
        <f>+G355+G357+G359+G361</f>
        <v>0</v>
      </c>
      <c r="H354" s="78">
        <f t="shared" ref="H354:I354" si="171">+H355+H357+H359+H361</f>
        <v>1873140.03</v>
      </c>
      <c r="I354" s="78">
        <f t="shared" si="171"/>
        <v>0</v>
      </c>
      <c r="J354" s="78">
        <f t="shared" si="125"/>
        <v>1873140.03</v>
      </c>
      <c r="K354" s="77"/>
    </row>
    <row r="355" spans="1:11" x14ac:dyDescent="0.2">
      <c r="A355" s="76">
        <v>2</v>
      </c>
      <c r="B355" s="73">
        <v>6</v>
      </c>
      <c r="C355" s="73">
        <v>3</v>
      </c>
      <c r="D355" s="73">
        <v>1</v>
      </c>
      <c r="E355" s="72"/>
      <c r="F355" s="71" t="s">
        <v>243</v>
      </c>
      <c r="G355" s="70">
        <f>SUM(G356)</f>
        <v>0</v>
      </c>
      <c r="H355" s="70">
        <f t="shared" ref="H355:I355" si="172">SUM(H356)</f>
        <v>1873140.03</v>
      </c>
      <c r="I355" s="70">
        <f t="shared" si="172"/>
        <v>0</v>
      </c>
      <c r="J355" s="70">
        <f t="shared" si="125"/>
        <v>1873140.03</v>
      </c>
      <c r="K355" s="69"/>
    </row>
    <row r="356" spans="1:11" x14ac:dyDescent="0.2">
      <c r="A356" s="75">
        <v>2</v>
      </c>
      <c r="B356" s="67">
        <v>6</v>
      </c>
      <c r="C356" s="67">
        <v>3</v>
      </c>
      <c r="D356" s="67">
        <v>1</v>
      </c>
      <c r="E356" s="82" t="s">
        <v>178</v>
      </c>
      <c r="F356" s="66" t="s">
        <v>243</v>
      </c>
      <c r="G356" s="65"/>
      <c r="H356" s="64">
        <v>1873140.03</v>
      </c>
      <c r="I356" s="65"/>
      <c r="J356" s="64">
        <f t="shared" si="125"/>
        <v>1873140.03</v>
      </c>
      <c r="K356" s="63">
        <f t="shared" ref="K356" si="173">J356/$J$25</f>
        <v>1.8102261893716821E-2</v>
      </c>
    </row>
    <row r="357" spans="1:11" x14ac:dyDescent="0.2">
      <c r="A357" s="76">
        <v>2</v>
      </c>
      <c r="B357" s="73">
        <v>6</v>
      </c>
      <c r="C357" s="73">
        <v>3</v>
      </c>
      <c r="D357" s="73">
        <v>2</v>
      </c>
      <c r="E357" s="72"/>
      <c r="F357" s="71" t="s">
        <v>242</v>
      </c>
      <c r="G357" s="70">
        <f>SUM(G358)</f>
        <v>0</v>
      </c>
      <c r="H357" s="70">
        <f t="shared" ref="H357:I357" si="174">SUM(H358)</f>
        <v>0</v>
      </c>
      <c r="I357" s="70">
        <f t="shared" si="174"/>
        <v>0</v>
      </c>
      <c r="J357" s="70">
        <f t="shared" si="125"/>
        <v>0</v>
      </c>
      <c r="K357" s="69"/>
    </row>
    <row r="358" spans="1:11" x14ac:dyDescent="0.2">
      <c r="A358" s="75">
        <v>2</v>
      </c>
      <c r="B358" s="67">
        <v>6</v>
      </c>
      <c r="C358" s="67">
        <v>3</v>
      </c>
      <c r="D358" s="67">
        <v>2</v>
      </c>
      <c r="E358" s="82" t="s">
        <v>178</v>
      </c>
      <c r="F358" s="66" t="s">
        <v>242</v>
      </c>
      <c r="G358" s="65"/>
      <c r="H358" s="65"/>
      <c r="I358" s="65"/>
      <c r="J358" s="64">
        <f t="shared" si="125"/>
        <v>0</v>
      </c>
      <c r="K358" s="63">
        <f t="shared" ref="K358" si="175">J358/$J$25</f>
        <v>0</v>
      </c>
    </row>
    <row r="359" spans="1:11" x14ac:dyDescent="0.2">
      <c r="A359" s="76">
        <v>2</v>
      </c>
      <c r="B359" s="73">
        <v>6</v>
      </c>
      <c r="C359" s="73">
        <v>3</v>
      </c>
      <c r="D359" s="73">
        <v>3</v>
      </c>
      <c r="E359" s="72"/>
      <c r="F359" s="71" t="s">
        <v>241</v>
      </c>
      <c r="G359" s="70">
        <f>SUM(G360)</f>
        <v>0</v>
      </c>
      <c r="H359" s="70">
        <f t="shared" ref="H359:I359" si="176">SUM(H360)</f>
        <v>0</v>
      </c>
      <c r="I359" s="70">
        <f t="shared" si="176"/>
        <v>0</v>
      </c>
      <c r="J359" s="70">
        <f t="shared" si="125"/>
        <v>0</v>
      </c>
      <c r="K359" s="69"/>
    </row>
    <row r="360" spans="1:11" x14ac:dyDescent="0.2">
      <c r="A360" s="75">
        <v>2</v>
      </c>
      <c r="B360" s="67">
        <v>6</v>
      </c>
      <c r="C360" s="67">
        <v>3</v>
      </c>
      <c r="D360" s="67">
        <v>3</v>
      </c>
      <c r="E360" s="82" t="s">
        <v>178</v>
      </c>
      <c r="F360" s="66" t="s">
        <v>241</v>
      </c>
      <c r="G360" s="65"/>
      <c r="H360" s="65"/>
      <c r="I360" s="65"/>
      <c r="J360" s="64">
        <f t="shared" si="125"/>
        <v>0</v>
      </c>
      <c r="K360" s="63">
        <f t="shared" ref="K360" si="177">J360/$J$25</f>
        <v>0</v>
      </c>
    </row>
    <row r="361" spans="1:11" x14ac:dyDescent="0.2">
      <c r="A361" s="76">
        <v>2</v>
      </c>
      <c r="B361" s="73">
        <v>6</v>
      </c>
      <c r="C361" s="73">
        <v>3</v>
      </c>
      <c r="D361" s="73">
        <v>4</v>
      </c>
      <c r="E361" s="73"/>
      <c r="F361" s="71" t="s">
        <v>240</v>
      </c>
      <c r="G361" s="70">
        <f>+G362</f>
        <v>0</v>
      </c>
      <c r="H361" s="70">
        <f t="shared" ref="H361:I361" si="178">+H362</f>
        <v>0</v>
      </c>
      <c r="I361" s="70">
        <f t="shared" si="178"/>
        <v>0</v>
      </c>
      <c r="J361" s="70">
        <f t="shared" si="125"/>
        <v>0</v>
      </c>
      <c r="K361" s="69"/>
    </row>
    <row r="362" spans="1:11" x14ac:dyDescent="0.2">
      <c r="A362" s="75">
        <v>2</v>
      </c>
      <c r="B362" s="67">
        <v>6</v>
      </c>
      <c r="C362" s="67">
        <v>3</v>
      </c>
      <c r="D362" s="67">
        <v>4</v>
      </c>
      <c r="E362" s="82" t="s">
        <v>178</v>
      </c>
      <c r="F362" s="66" t="s">
        <v>240</v>
      </c>
      <c r="G362" s="65"/>
      <c r="H362" s="65"/>
      <c r="I362" s="65"/>
      <c r="J362" s="64">
        <f t="shared" si="125"/>
        <v>0</v>
      </c>
      <c r="K362" s="63">
        <f t="shared" ref="K362" si="179">J362/$J$25</f>
        <v>0</v>
      </c>
    </row>
    <row r="363" spans="1:11" x14ac:dyDescent="0.2">
      <c r="A363" s="85">
        <v>2</v>
      </c>
      <c r="B363" s="80">
        <v>6</v>
      </c>
      <c r="C363" s="80">
        <v>4</v>
      </c>
      <c r="D363" s="80"/>
      <c r="E363" s="84"/>
      <c r="F363" s="79" t="s">
        <v>239</v>
      </c>
      <c r="G363" s="78">
        <f>+G364+G366+G368+G370+G372+G374+G376+G378</f>
        <v>0</v>
      </c>
      <c r="H363" s="78">
        <f t="shared" ref="H363:I363" si="180">+H364+H366+H368+H370+H372+H374+H376+H378</f>
        <v>0</v>
      </c>
      <c r="I363" s="78">
        <f t="shared" si="180"/>
        <v>0</v>
      </c>
      <c r="J363" s="78">
        <f>SUM(G363:I363)</f>
        <v>0</v>
      </c>
      <c r="K363" s="77"/>
    </row>
    <row r="364" spans="1:11" x14ac:dyDescent="0.2">
      <c r="A364" s="76">
        <v>2</v>
      </c>
      <c r="B364" s="73">
        <v>6</v>
      </c>
      <c r="C364" s="73">
        <v>4</v>
      </c>
      <c r="D364" s="73">
        <v>1</v>
      </c>
      <c r="E364" s="73"/>
      <c r="F364" s="71" t="s">
        <v>238</v>
      </c>
      <c r="G364" s="70">
        <f>SUM(G365)</f>
        <v>0</v>
      </c>
      <c r="H364" s="70">
        <f t="shared" ref="H364:I364" si="181">SUM(H365)</f>
        <v>0</v>
      </c>
      <c r="I364" s="70">
        <f t="shared" si="181"/>
        <v>0</v>
      </c>
      <c r="J364" s="70">
        <f>SUM(G364:I364)</f>
        <v>0</v>
      </c>
      <c r="K364" s="69"/>
    </row>
    <row r="365" spans="1:11" x14ac:dyDescent="0.2">
      <c r="A365" s="75">
        <v>2</v>
      </c>
      <c r="B365" s="67">
        <v>6</v>
      </c>
      <c r="C365" s="67">
        <v>4</v>
      </c>
      <c r="D365" s="67">
        <v>1</v>
      </c>
      <c r="E365" s="82" t="s">
        <v>178</v>
      </c>
      <c r="F365" s="66" t="s">
        <v>238</v>
      </c>
      <c r="G365" s="65"/>
      <c r="H365" s="65"/>
      <c r="I365" s="65"/>
      <c r="J365" s="64">
        <f t="shared" si="125"/>
        <v>0</v>
      </c>
      <c r="K365" s="63">
        <f t="shared" ref="K365" si="182">J365/$J$25</f>
        <v>0</v>
      </c>
    </row>
    <row r="366" spans="1:11" x14ac:dyDescent="0.2">
      <c r="A366" s="76">
        <v>2</v>
      </c>
      <c r="B366" s="73">
        <v>6</v>
      </c>
      <c r="C366" s="73">
        <v>4</v>
      </c>
      <c r="D366" s="73">
        <v>2</v>
      </c>
      <c r="E366" s="73"/>
      <c r="F366" s="71" t="s">
        <v>237</v>
      </c>
      <c r="G366" s="70">
        <f>SUM(G367)</f>
        <v>0</v>
      </c>
      <c r="H366" s="70">
        <f t="shared" ref="H366:I366" si="183">SUM(H367)</f>
        <v>0</v>
      </c>
      <c r="I366" s="70">
        <f t="shared" si="183"/>
        <v>0</v>
      </c>
      <c r="J366" s="70">
        <f t="shared" ref="J366:J454" si="184">SUM(G366:I366)</f>
        <v>0</v>
      </c>
      <c r="K366" s="69"/>
    </row>
    <row r="367" spans="1:11" x14ac:dyDescent="0.2">
      <c r="A367" s="75">
        <v>2</v>
      </c>
      <c r="B367" s="67">
        <v>6</v>
      </c>
      <c r="C367" s="67">
        <v>4</v>
      </c>
      <c r="D367" s="67">
        <v>2</v>
      </c>
      <c r="E367" s="82" t="s">
        <v>178</v>
      </c>
      <c r="F367" s="66" t="s">
        <v>237</v>
      </c>
      <c r="G367" s="65"/>
      <c r="H367" s="65"/>
      <c r="I367" s="65"/>
      <c r="J367" s="64">
        <f t="shared" si="184"/>
        <v>0</v>
      </c>
      <c r="K367" s="63">
        <f t="shared" ref="K367" si="185">J367/$J$25</f>
        <v>0</v>
      </c>
    </row>
    <row r="368" spans="1:11" x14ac:dyDescent="0.2">
      <c r="A368" s="76">
        <v>2</v>
      </c>
      <c r="B368" s="73">
        <v>6</v>
      </c>
      <c r="C368" s="73">
        <v>4</v>
      </c>
      <c r="D368" s="73">
        <v>3</v>
      </c>
      <c r="E368" s="73"/>
      <c r="F368" s="71" t="s">
        <v>236</v>
      </c>
      <c r="G368" s="70">
        <f>SUM(G369)</f>
        <v>0</v>
      </c>
      <c r="H368" s="70">
        <f t="shared" ref="H368:I368" si="186">SUM(H369)</f>
        <v>0</v>
      </c>
      <c r="I368" s="70">
        <f t="shared" si="186"/>
        <v>0</v>
      </c>
      <c r="J368" s="70">
        <f t="shared" si="184"/>
        <v>0</v>
      </c>
      <c r="K368" s="69"/>
    </row>
    <row r="369" spans="1:11" x14ac:dyDescent="0.2">
      <c r="A369" s="75">
        <v>2</v>
      </c>
      <c r="B369" s="67">
        <v>6</v>
      </c>
      <c r="C369" s="67">
        <v>4</v>
      </c>
      <c r="D369" s="67">
        <v>3</v>
      </c>
      <c r="E369" s="82" t="s">
        <v>178</v>
      </c>
      <c r="F369" s="66" t="s">
        <v>236</v>
      </c>
      <c r="G369" s="65"/>
      <c r="H369" s="65"/>
      <c r="I369" s="65"/>
      <c r="J369" s="64">
        <f t="shared" si="184"/>
        <v>0</v>
      </c>
      <c r="K369" s="63">
        <f t="shared" ref="K369" si="187">J369/$J$25</f>
        <v>0</v>
      </c>
    </row>
    <row r="370" spans="1:11" x14ac:dyDescent="0.2">
      <c r="A370" s="76">
        <v>2</v>
      </c>
      <c r="B370" s="73">
        <v>6</v>
      </c>
      <c r="C370" s="73">
        <v>4</v>
      </c>
      <c r="D370" s="73">
        <v>4</v>
      </c>
      <c r="E370" s="73"/>
      <c r="F370" s="71" t="s">
        <v>235</v>
      </c>
      <c r="G370" s="70">
        <f>SUM(G371)</f>
        <v>0</v>
      </c>
      <c r="H370" s="70">
        <f t="shared" ref="H370:I370" si="188">SUM(H371)</f>
        <v>0</v>
      </c>
      <c r="I370" s="70">
        <f t="shared" si="188"/>
        <v>0</v>
      </c>
      <c r="J370" s="70">
        <f t="shared" si="184"/>
        <v>0</v>
      </c>
      <c r="K370" s="69"/>
    </row>
    <row r="371" spans="1:11" x14ac:dyDescent="0.2">
      <c r="A371" s="75">
        <v>2</v>
      </c>
      <c r="B371" s="67">
        <v>6</v>
      </c>
      <c r="C371" s="67">
        <v>4</v>
      </c>
      <c r="D371" s="67">
        <v>4</v>
      </c>
      <c r="E371" s="82" t="s">
        <v>178</v>
      </c>
      <c r="F371" s="66" t="s">
        <v>235</v>
      </c>
      <c r="G371" s="65"/>
      <c r="H371" s="65"/>
      <c r="I371" s="65"/>
      <c r="J371" s="64">
        <f t="shared" si="184"/>
        <v>0</v>
      </c>
      <c r="K371" s="63">
        <f t="shared" ref="K371" si="189">J371/$J$25</f>
        <v>0</v>
      </c>
    </row>
    <row r="372" spans="1:11" x14ac:dyDescent="0.2">
      <c r="A372" s="76">
        <v>2</v>
      </c>
      <c r="B372" s="73">
        <v>6</v>
      </c>
      <c r="C372" s="73">
        <v>4</v>
      </c>
      <c r="D372" s="73">
        <v>5</v>
      </c>
      <c r="E372" s="73"/>
      <c r="F372" s="71" t="s">
        <v>234</v>
      </c>
      <c r="G372" s="70">
        <f>SUM(G373)</f>
        <v>0</v>
      </c>
      <c r="H372" s="70">
        <f t="shared" ref="H372:I372" si="190">SUM(H373)</f>
        <v>0</v>
      </c>
      <c r="I372" s="70">
        <f t="shared" si="190"/>
        <v>0</v>
      </c>
      <c r="J372" s="70">
        <f t="shared" si="184"/>
        <v>0</v>
      </c>
      <c r="K372" s="69"/>
    </row>
    <row r="373" spans="1:11" x14ac:dyDescent="0.2">
      <c r="A373" s="75">
        <v>2</v>
      </c>
      <c r="B373" s="67">
        <v>6</v>
      </c>
      <c r="C373" s="67">
        <v>4</v>
      </c>
      <c r="D373" s="67">
        <v>5</v>
      </c>
      <c r="E373" s="82" t="s">
        <v>178</v>
      </c>
      <c r="F373" s="66" t="s">
        <v>234</v>
      </c>
      <c r="G373" s="65"/>
      <c r="H373" s="65"/>
      <c r="I373" s="65"/>
      <c r="J373" s="64">
        <f t="shared" si="184"/>
        <v>0</v>
      </c>
      <c r="K373" s="63">
        <f t="shared" ref="K373" si="191">J373/$J$25</f>
        <v>0</v>
      </c>
    </row>
    <row r="374" spans="1:11" x14ac:dyDescent="0.2">
      <c r="A374" s="76">
        <v>2</v>
      </c>
      <c r="B374" s="73">
        <v>6</v>
      </c>
      <c r="C374" s="73">
        <v>4</v>
      </c>
      <c r="D374" s="73">
        <v>6</v>
      </c>
      <c r="E374" s="73"/>
      <c r="F374" s="71" t="s">
        <v>233</v>
      </c>
      <c r="G374" s="70">
        <f>SUM(G375)</f>
        <v>0</v>
      </c>
      <c r="H374" s="70">
        <f t="shared" ref="H374:I374" si="192">SUM(H375)</f>
        <v>0</v>
      </c>
      <c r="I374" s="70">
        <f t="shared" si="192"/>
        <v>0</v>
      </c>
      <c r="J374" s="70">
        <f t="shared" si="184"/>
        <v>0</v>
      </c>
      <c r="K374" s="69"/>
    </row>
    <row r="375" spans="1:11" x14ac:dyDescent="0.2">
      <c r="A375" s="75">
        <v>2</v>
      </c>
      <c r="B375" s="67">
        <v>6</v>
      </c>
      <c r="C375" s="67">
        <v>4</v>
      </c>
      <c r="D375" s="67">
        <v>6</v>
      </c>
      <c r="E375" s="82" t="s">
        <v>178</v>
      </c>
      <c r="F375" s="66" t="s">
        <v>233</v>
      </c>
      <c r="G375" s="65"/>
      <c r="H375" s="65"/>
      <c r="I375" s="65"/>
      <c r="J375" s="64">
        <f t="shared" si="184"/>
        <v>0</v>
      </c>
      <c r="K375" s="63">
        <f t="shared" ref="K375" si="193">J375/$J$25</f>
        <v>0</v>
      </c>
    </row>
    <row r="376" spans="1:11" x14ac:dyDescent="0.2">
      <c r="A376" s="76">
        <v>2</v>
      </c>
      <c r="B376" s="73">
        <v>6</v>
      </c>
      <c r="C376" s="73">
        <v>4</v>
      </c>
      <c r="D376" s="73">
        <v>7</v>
      </c>
      <c r="E376" s="73"/>
      <c r="F376" s="71" t="s">
        <v>232</v>
      </c>
      <c r="G376" s="70">
        <f>SUM(G377)</f>
        <v>0</v>
      </c>
      <c r="H376" s="70">
        <f t="shared" ref="H376:I376" si="194">SUM(H377)</f>
        <v>0</v>
      </c>
      <c r="I376" s="70">
        <f t="shared" si="194"/>
        <v>0</v>
      </c>
      <c r="J376" s="70">
        <f t="shared" si="184"/>
        <v>0</v>
      </c>
      <c r="K376" s="69"/>
    </row>
    <row r="377" spans="1:11" x14ac:dyDescent="0.2">
      <c r="A377" s="75">
        <v>2</v>
      </c>
      <c r="B377" s="67">
        <v>6</v>
      </c>
      <c r="C377" s="67">
        <v>4</v>
      </c>
      <c r="D377" s="67">
        <v>7</v>
      </c>
      <c r="E377" s="82" t="s">
        <v>178</v>
      </c>
      <c r="F377" s="66" t="s">
        <v>232</v>
      </c>
      <c r="G377" s="65"/>
      <c r="H377" s="65"/>
      <c r="I377" s="65"/>
      <c r="J377" s="64">
        <f t="shared" si="184"/>
        <v>0</v>
      </c>
      <c r="K377" s="63">
        <f t="shared" ref="K377" si="195">J377/$J$25</f>
        <v>0</v>
      </c>
    </row>
    <row r="378" spans="1:11" x14ac:dyDescent="0.2">
      <c r="A378" s="76">
        <v>2</v>
      </c>
      <c r="B378" s="73">
        <v>6</v>
      </c>
      <c r="C378" s="73">
        <v>4</v>
      </c>
      <c r="D378" s="73">
        <v>8</v>
      </c>
      <c r="E378" s="73"/>
      <c r="F378" s="71" t="s">
        <v>231</v>
      </c>
      <c r="G378" s="70">
        <f>SUM(G379)</f>
        <v>0</v>
      </c>
      <c r="H378" s="70">
        <f t="shared" ref="H378:I378" si="196">SUM(H379)</f>
        <v>0</v>
      </c>
      <c r="I378" s="70">
        <f t="shared" si="196"/>
        <v>0</v>
      </c>
      <c r="J378" s="70">
        <f t="shared" si="184"/>
        <v>0</v>
      </c>
      <c r="K378" s="69"/>
    </row>
    <row r="379" spans="1:11" x14ac:dyDescent="0.2">
      <c r="A379" s="75">
        <v>2</v>
      </c>
      <c r="B379" s="67">
        <v>6</v>
      </c>
      <c r="C379" s="67">
        <v>4</v>
      </c>
      <c r="D379" s="67">
        <v>8</v>
      </c>
      <c r="E379" s="82" t="s">
        <v>178</v>
      </c>
      <c r="F379" s="66" t="s">
        <v>231</v>
      </c>
      <c r="G379" s="65"/>
      <c r="H379" s="65"/>
      <c r="I379" s="65"/>
      <c r="J379" s="64">
        <f t="shared" si="184"/>
        <v>0</v>
      </c>
      <c r="K379" s="63">
        <f t="shared" ref="K379" si="197">J379/$J$25</f>
        <v>0</v>
      </c>
    </row>
    <row r="380" spans="1:11" x14ac:dyDescent="0.2">
      <c r="A380" s="85">
        <v>2</v>
      </c>
      <c r="B380" s="80">
        <v>6</v>
      </c>
      <c r="C380" s="80">
        <v>5</v>
      </c>
      <c r="D380" s="80"/>
      <c r="E380" s="84"/>
      <c r="F380" s="79" t="s">
        <v>230</v>
      </c>
      <c r="G380" s="78">
        <f>+G381+G383+G386+G388+G390+G392+G394+G396</f>
        <v>0</v>
      </c>
      <c r="H380" s="78">
        <f t="shared" ref="H380:I380" si="198">+H381+H383+H386+H388+H390+H392+H394+H396</f>
        <v>116850.1</v>
      </c>
      <c r="I380" s="78">
        <f t="shared" si="198"/>
        <v>0</v>
      </c>
      <c r="J380" s="78">
        <f>SUM(G380:I380)</f>
        <v>116850.1</v>
      </c>
      <c r="K380" s="77"/>
    </row>
    <row r="381" spans="1:11" x14ac:dyDescent="0.2">
      <c r="A381" s="74">
        <v>2</v>
      </c>
      <c r="B381" s="73">
        <v>6</v>
      </c>
      <c r="C381" s="73">
        <v>5</v>
      </c>
      <c r="D381" s="73">
        <v>1</v>
      </c>
      <c r="E381" s="73"/>
      <c r="F381" s="71" t="s">
        <v>229</v>
      </c>
      <c r="G381" s="70">
        <f>SUM(G382)</f>
        <v>0</v>
      </c>
      <c r="H381" s="70">
        <f t="shared" ref="H381:I381" si="199">SUM(H382)</f>
        <v>0</v>
      </c>
      <c r="I381" s="70">
        <f t="shared" si="199"/>
        <v>0</v>
      </c>
      <c r="J381" s="70">
        <f t="shared" si="184"/>
        <v>0</v>
      </c>
      <c r="K381" s="69"/>
    </row>
    <row r="382" spans="1:11" x14ac:dyDescent="0.2">
      <c r="A382" s="68">
        <v>2</v>
      </c>
      <c r="B382" s="67">
        <v>6</v>
      </c>
      <c r="C382" s="67">
        <v>5</v>
      </c>
      <c r="D382" s="67">
        <v>1</v>
      </c>
      <c r="E382" s="82" t="s">
        <v>178</v>
      </c>
      <c r="F382" s="66" t="s">
        <v>229</v>
      </c>
      <c r="G382" s="65"/>
      <c r="H382" s="65"/>
      <c r="I382" s="65"/>
      <c r="J382" s="64">
        <f t="shared" si="184"/>
        <v>0</v>
      </c>
      <c r="K382" s="63">
        <f t="shared" ref="K382" si="200">J382/$J$25</f>
        <v>0</v>
      </c>
    </row>
    <row r="383" spans="1:11" x14ac:dyDescent="0.2">
      <c r="A383" s="74">
        <v>2</v>
      </c>
      <c r="B383" s="73">
        <v>6</v>
      </c>
      <c r="C383" s="73">
        <v>5</v>
      </c>
      <c r="D383" s="73">
        <v>2</v>
      </c>
      <c r="E383" s="73"/>
      <c r="F383" s="71" t="s">
        <v>228</v>
      </c>
      <c r="G383" s="70">
        <f>SUM(G384)</f>
        <v>0</v>
      </c>
      <c r="H383" s="70">
        <f t="shared" ref="H383:I383" si="201">SUM(H384)</f>
        <v>0</v>
      </c>
      <c r="I383" s="70">
        <f t="shared" si="201"/>
        <v>0</v>
      </c>
      <c r="J383" s="70">
        <f>+J384+J385</f>
        <v>0</v>
      </c>
      <c r="K383" s="69"/>
    </row>
    <row r="384" spans="1:11" x14ac:dyDescent="0.2">
      <c r="A384" s="68">
        <v>2</v>
      </c>
      <c r="B384" s="67">
        <v>6</v>
      </c>
      <c r="C384" s="67">
        <v>5</v>
      </c>
      <c r="D384" s="67">
        <v>2</v>
      </c>
      <c r="E384" s="82" t="s">
        <v>178</v>
      </c>
      <c r="F384" s="66" t="s">
        <v>228</v>
      </c>
      <c r="G384" s="65"/>
      <c r="H384" s="64"/>
      <c r="I384" s="65"/>
      <c r="J384" s="64">
        <f t="shared" si="184"/>
        <v>0</v>
      </c>
      <c r="K384" s="63">
        <f t="shared" ref="K384" si="202">J384/$J$25</f>
        <v>0</v>
      </c>
    </row>
    <row r="385" spans="1:11" x14ac:dyDescent="0.2">
      <c r="A385" s="68">
        <v>2</v>
      </c>
      <c r="B385" s="67">
        <v>6</v>
      </c>
      <c r="C385" s="67">
        <v>5</v>
      </c>
      <c r="D385" s="67">
        <v>2</v>
      </c>
      <c r="E385" s="82" t="s">
        <v>182</v>
      </c>
      <c r="F385" s="66" t="s">
        <v>566</v>
      </c>
      <c r="G385" s="64"/>
      <c r="H385" s="64"/>
      <c r="I385" s="64"/>
      <c r="J385" s="64">
        <f>+G385+H385+I385</f>
        <v>0</v>
      </c>
      <c r="K385" s="63"/>
    </row>
    <row r="386" spans="1:11" x14ac:dyDescent="0.2">
      <c r="A386" s="74">
        <v>2</v>
      </c>
      <c r="B386" s="73">
        <v>6</v>
      </c>
      <c r="C386" s="73">
        <v>5</v>
      </c>
      <c r="D386" s="73">
        <v>3</v>
      </c>
      <c r="E386" s="73"/>
      <c r="F386" s="71" t="s">
        <v>227</v>
      </c>
      <c r="G386" s="70">
        <f>SUM(G387)</f>
        <v>0</v>
      </c>
      <c r="H386" s="70">
        <f t="shared" ref="H386:I386" si="203">SUM(H387)</f>
        <v>0</v>
      </c>
      <c r="I386" s="70">
        <f t="shared" si="203"/>
        <v>0</v>
      </c>
      <c r="J386" s="70">
        <f t="shared" si="184"/>
        <v>0</v>
      </c>
      <c r="K386" s="69"/>
    </row>
    <row r="387" spans="1:11" x14ac:dyDescent="0.2">
      <c r="A387" s="68">
        <v>2</v>
      </c>
      <c r="B387" s="67">
        <v>6</v>
      </c>
      <c r="C387" s="67">
        <v>5</v>
      </c>
      <c r="D387" s="67">
        <v>3</v>
      </c>
      <c r="E387" s="82" t="s">
        <v>178</v>
      </c>
      <c r="F387" s="66" t="s">
        <v>227</v>
      </c>
      <c r="G387" s="65"/>
      <c r="H387" s="64"/>
      <c r="I387" s="65"/>
      <c r="J387" s="64">
        <f t="shared" si="184"/>
        <v>0</v>
      </c>
      <c r="K387" s="63">
        <f t="shared" ref="K387" si="204">J387/$J$25</f>
        <v>0</v>
      </c>
    </row>
    <row r="388" spans="1:11" ht="25.5" x14ac:dyDescent="0.2">
      <c r="A388" s="74">
        <v>2</v>
      </c>
      <c r="B388" s="73">
        <v>6</v>
      </c>
      <c r="C388" s="73">
        <v>5</v>
      </c>
      <c r="D388" s="73">
        <v>4</v>
      </c>
      <c r="E388" s="73"/>
      <c r="F388" s="71" t="s">
        <v>226</v>
      </c>
      <c r="G388" s="70">
        <f>SUM(G389)</f>
        <v>0</v>
      </c>
      <c r="H388" s="70">
        <f t="shared" ref="H388:I388" si="205">SUM(H389)</f>
        <v>116850.1</v>
      </c>
      <c r="I388" s="70">
        <f t="shared" si="205"/>
        <v>0</v>
      </c>
      <c r="J388" s="70">
        <f t="shared" si="184"/>
        <v>116850.1</v>
      </c>
      <c r="K388" s="69"/>
    </row>
    <row r="389" spans="1:11" ht="25.5" x14ac:dyDescent="0.2">
      <c r="A389" s="68">
        <v>2</v>
      </c>
      <c r="B389" s="67">
        <v>6</v>
      </c>
      <c r="C389" s="67">
        <v>5</v>
      </c>
      <c r="D389" s="67">
        <v>4</v>
      </c>
      <c r="E389" s="82" t="s">
        <v>178</v>
      </c>
      <c r="F389" s="66" t="s">
        <v>226</v>
      </c>
      <c r="G389" s="65"/>
      <c r="H389" s="64">
        <v>116850.1</v>
      </c>
      <c r="I389" s="65"/>
      <c r="J389" s="64">
        <f t="shared" si="184"/>
        <v>116850.1</v>
      </c>
      <c r="K389" s="63">
        <f t="shared" ref="K389" si="206">J389/$J$25</f>
        <v>1.1292541286980022E-3</v>
      </c>
    </row>
    <row r="390" spans="1:11" x14ac:dyDescent="0.2">
      <c r="A390" s="74">
        <v>2</v>
      </c>
      <c r="B390" s="73">
        <v>6</v>
      </c>
      <c r="C390" s="73">
        <v>5</v>
      </c>
      <c r="D390" s="73">
        <v>5</v>
      </c>
      <c r="E390" s="73"/>
      <c r="F390" s="71" t="s">
        <v>225</v>
      </c>
      <c r="G390" s="70">
        <f>SUM(G391)</f>
        <v>0</v>
      </c>
      <c r="H390" s="70">
        <f t="shared" ref="H390:I390" si="207">SUM(H391)</f>
        <v>0</v>
      </c>
      <c r="I390" s="70">
        <f t="shared" si="207"/>
        <v>0</v>
      </c>
      <c r="J390" s="70">
        <f t="shared" si="184"/>
        <v>0</v>
      </c>
      <c r="K390" s="69"/>
    </row>
    <row r="391" spans="1:11" x14ac:dyDescent="0.2">
      <c r="A391" s="68">
        <v>2</v>
      </c>
      <c r="B391" s="67">
        <v>6</v>
      </c>
      <c r="C391" s="67">
        <v>5</v>
      </c>
      <c r="D391" s="67">
        <v>5</v>
      </c>
      <c r="E391" s="82" t="s">
        <v>178</v>
      </c>
      <c r="F391" s="66" t="s">
        <v>225</v>
      </c>
      <c r="G391" s="65"/>
      <c r="H391" s="65"/>
      <c r="I391" s="65"/>
      <c r="J391" s="64">
        <f t="shared" si="184"/>
        <v>0</v>
      </c>
      <c r="K391" s="63">
        <f t="shared" ref="K391" si="208">J391/$J$25</f>
        <v>0</v>
      </c>
    </row>
    <row r="392" spans="1:11" ht="25.5" x14ac:dyDescent="0.2">
      <c r="A392" s="74">
        <v>2</v>
      </c>
      <c r="B392" s="73">
        <v>6</v>
      </c>
      <c r="C392" s="73">
        <v>5</v>
      </c>
      <c r="D392" s="73">
        <v>6</v>
      </c>
      <c r="E392" s="73"/>
      <c r="F392" s="71" t="s">
        <v>224</v>
      </c>
      <c r="G392" s="70">
        <f>SUM(G393)</f>
        <v>0</v>
      </c>
      <c r="H392" s="70">
        <f t="shared" ref="H392:I392" si="209">SUM(H393)</f>
        <v>0</v>
      </c>
      <c r="I392" s="70">
        <f t="shared" si="209"/>
        <v>0</v>
      </c>
      <c r="J392" s="70">
        <f t="shared" si="184"/>
        <v>0</v>
      </c>
      <c r="K392" s="69"/>
    </row>
    <row r="393" spans="1:11" ht="25.5" x14ac:dyDescent="0.2">
      <c r="A393" s="68">
        <v>2</v>
      </c>
      <c r="B393" s="67">
        <v>6</v>
      </c>
      <c r="C393" s="67">
        <v>5</v>
      </c>
      <c r="D393" s="67">
        <v>6</v>
      </c>
      <c r="E393" s="82" t="s">
        <v>178</v>
      </c>
      <c r="F393" s="66" t="s">
        <v>224</v>
      </c>
      <c r="G393" s="65"/>
      <c r="H393" s="65"/>
      <c r="I393" s="65"/>
      <c r="J393" s="64">
        <f t="shared" si="184"/>
        <v>0</v>
      </c>
      <c r="K393" s="63">
        <f t="shared" ref="K393" si="210">J393/$J$25</f>
        <v>0</v>
      </c>
    </row>
    <row r="394" spans="1:11" x14ac:dyDescent="0.2">
      <c r="A394" s="74">
        <v>2</v>
      </c>
      <c r="B394" s="73">
        <v>6</v>
      </c>
      <c r="C394" s="73">
        <v>5</v>
      </c>
      <c r="D394" s="73">
        <v>7</v>
      </c>
      <c r="E394" s="73"/>
      <c r="F394" s="71" t="s">
        <v>223</v>
      </c>
      <c r="G394" s="70">
        <f>SUM(G395)</f>
        <v>0</v>
      </c>
      <c r="H394" s="70">
        <f t="shared" ref="H394:I394" si="211">SUM(H395)</f>
        <v>0</v>
      </c>
      <c r="I394" s="70">
        <f t="shared" si="211"/>
        <v>0</v>
      </c>
      <c r="J394" s="70">
        <f t="shared" si="184"/>
        <v>0</v>
      </c>
      <c r="K394" s="69"/>
    </row>
    <row r="395" spans="1:11" x14ac:dyDescent="0.2">
      <c r="A395" s="68">
        <v>2</v>
      </c>
      <c r="B395" s="67">
        <v>6</v>
      </c>
      <c r="C395" s="67">
        <v>5</v>
      </c>
      <c r="D395" s="67">
        <v>7</v>
      </c>
      <c r="E395" s="82" t="s">
        <v>178</v>
      </c>
      <c r="F395" s="66" t="s">
        <v>223</v>
      </c>
      <c r="G395" s="65"/>
      <c r="H395" s="64"/>
      <c r="I395" s="65"/>
      <c r="J395" s="64">
        <f t="shared" si="184"/>
        <v>0</v>
      </c>
      <c r="K395" s="63">
        <f t="shared" ref="K395" si="212">J395/$J$25</f>
        <v>0</v>
      </c>
    </row>
    <row r="396" spans="1:11" x14ac:dyDescent="0.2">
      <c r="A396" s="74">
        <v>2</v>
      </c>
      <c r="B396" s="73">
        <v>6</v>
      </c>
      <c r="C396" s="73">
        <v>5</v>
      </c>
      <c r="D396" s="73">
        <v>8</v>
      </c>
      <c r="E396" s="73"/>
      <c r="F396" s="71" t="s">
        <v>222</v>
      </c>
      <c r="G396" s="70">
        <f>SUM(G397)</f>
        <v>0</v>
      </c>
      <c r="H396" s="70">
        <f t="shared" ref="H396:I396" si="213">SUM(H397)</f>
        <v>0</v>
      </c>
      <c r="I396" s="70">
        <f t="shared" si="213"/>
        <v>0</v>
      </c>
      <c r="J396" s="70">
        <f t="shared" si="184"/>
        <v>0</v>
      </c>
      <c r="K396" s="69"/>
    </row>
    <row r="397" spans="1:11" x14ac:dyDescent="0.2">
      <c r="A397" s="68">
        <v>2</v>
      </c>
      <c r="B397" s="67">
        <v>6</v>
      </c>
      <c r="C397" s="67">
        <v>5</v>
      </c>
      <c r="D397" s="67">
        <v>8</v>
      </c>
      <c r="E397" s="82" t="s">
        <v>178</v>
      </c>
      <c r="F397" s="66" t="s">
        <v>222</v>
      </c>
      <c r="G397" s="65"/>
      <c r="H397" s="65"/>
      <c r="I397" s="65"/>
      <c r="J397" s="64">
        <f t="shared" si="184"/>
        <v>0</v>
      </c>
      <c r="K397" s="63">
        <f t="shared" ref="K397" si="214">J397/$J$25</f>
        <v>0</v>
      </c>
    </row>
    <row r="398" spans="1:11" x14ac:dyDescent="0.2">
      <c r="A398" s="81">
        <v>2</v>
      </c>
      <c r="B398" s="80">
        <v>6</v>
      </c>
      <c r="C398" s="80">
        <v>6</v>
      </c>
      <c r="D398" s="80"/>
      <c r="E398" s="80"/>
      <c r="F398" s="79" t="s">
        <v>221</v>
      </c>
      <c r="G398" s="78">
        <f>+G399+G401</f>
        <v>0</v>
      </c>
      <c r="H398" s="78">
        <f t="shared" ref="H398:I398" si="215">+H399+H401</f>
        <v>0</v>
      </c>
      <c r="I398" s="78">
        <f t="shared" si="215"/>
        <v>0</v>
      </c>
      <c r="J398" s="78">
        <f>SUM(G398:I398)</f>
        <v>0</v>
      </c>
      <c r="K398" s="77">
        <f>J398/$J$25</f>
        <v>0</v>
      </c>
    </row>
    <row r="399" spans="1:11" x14ac:dyDescent="0.2">
      <c r="A399" s="76">
        <v>2</v>
      </c>
      <c r="B399" s="73">
        <v>6</v>
      </c>
      <c r="C399" s="73">
        <v>6</v>
      </c>
      <c r="D399" s="73">
        <v>1</v>
      </c>
      <c r="E399" s="72"/>
      <c r="F399" s="71" t="s">
        <v>220</v>
      </c>
      <c r="G399" s="70">
        <f>+G400</f>
        <v>0</v>
      </c>
      <c r="H399" s="70">
        <f t="shared" ref="H399:I399" si="216">+H400</f>
        <v>0</v>
      </c>
      <c r="I399" s="70">
        <f t="shared" si="216"/>
        <v>0</v>
      </c>
      <c r="J399" s="70">
        <f>SUM(G399:I399)</f>
        <v>0</v>
      </c>
      <c r="K399" s="69"/>
    </row>
    <row r="400" spans="1:11" x14ac:dyDescent="0.2">
      <c r="A400" s="75">
        <v>2</v>
      </c>
      <c r="B400" s="67">
        <v>6</v>
      </c>
      <c r="C400" s="67">
        <v>6</v>
      </c>
      <c r="D400" s="67">
        <v>1</v>
      </c>
      <c r="E400" s="67" t="s">
        <v>155</v>
      </c>
      <c r="F400" s="66" t="s">
        <v>220</v>
      </c>
      <c r="G400" s="64"/>
      <c r="H400" s="64"/>
      <c r="I400" s="65"/>
      <c r="J400" s="64">
        <f>SUM(G400:I400)</f>
        <v>0</v>
      </c>
      <c r="K400" s="63">
        <f t="shared" ref="K400" si="217">J400/$J$25</f>
        <v>0</v>
      </c>
    </row>
    <row r="401" spans="1:11" x14ac:dyDescent="0.2">
      <c r="A401" s="76">
        <v>2</v>
      </c>
      <c r="B401" s="73">
        <v>6</v>
      </c>
      <c r="C401" s="73">
        <v>6</v>
      </c>
      <c r="D401" s="73">
        <v>2</v>
      </c>
      <c r="E401" s="72"/>
      <c r="F401" s="71" t="s">
        <v>219</v>
      </c>
      <c r="G401" s="70">
        <f>+G402</f>
        <v>0</v>
      </c>
      <c r="H401" s="70">
        <f t="shared" ref="H401:I401" si="218">+H402</f>
        <v>0</v>
      </c>
      <c r="I401" s="70">
        <f t="shared" si="218"/>
        <v>0</v>
      </c>
      <c r="J401" s="70">
        <f>SUM(G401:I401)</f>
        <v>0</v>
      </c>
      <c r="K401" s="69"/>
    </row>
    <row r="402" spans="1:11" x14ac:dyDescent="0.2">
      <c r="A402" s="75">
        <v>2</v>
      </c>
      <c r="B402" s="67">
        <v>6</v>
      </c>
      <c r="C402" s="67">
        <v>6</v>
      </c>
      <c r="D402" s="67">
        <v>2</v>
      </c>
      <c r="E402" s="67" t="s">
        <v>155</v>
      </c>
      <c r="F402" s="66" t="s">
        <v>219</v>
      </c>
      <c r="G402" s="65"/>
      <c r="H402" s="65"/>
      <c r="I402" s="65"/>
      <c r="J402" s="64">
        <f>SUM(G402:I402)</f>
        <v>0</v>
      </c>
      <c r="K402" s="63">
        <f t="shared" ref="K402" si="219">J402/$J$25</f>
        <v>0</v>
      </c>
    </row>
    <row r="403" spans="1:11" x14ac:dyDescent="0.2">
      <c r="A403" s="85">
        <v>2</v>
      </c>
      <c r="B403" s="80">
        <v>6</v>
      </c>
      <c r="C403" s="80">
        <v>7</v>
      </c>
      <c r="D403" s="80"/>
      <c r="E403" s="84"/>
      <c r="F403" s="79" t="s">
        <v>218</v>
      </c>
      <c r="G403" s="78">
        <f>+G404+G406+G408+G410+G412+G414+G416+G418+G420</f>
        <v>0</v>
      </c>
      <c r="H403" s="78">
        <f t="shared" ref="H403:I403" si="220">+H404+H406+H408+H410+H412+H414+H416+H418+H420</f>
        <v>0</v>
      </c>
      <c r="I403" s="78">
        <f t="shared" si="220"/>
        <v>0</v>
      </c>
      <c r="J403" s="78">
        <f t="shared" si="184"/>
        <v>0</v>
      </c>
      <c r="K403" s="77"/>
    </row>
    <row r="404" spans="1:11" x14ac:dyDescent="0.2">
      <c r="A404" s="74">
        <v>2</v>
      </c>
      <c r="B404" s="73">
        <v>6</v>
      </c>
      <c r="C404" s="73">
        <v>7</v>
      </c>
      <c r="D404" s="73">
        <v>1</v>
      </c>
      <c r="E404" s="73"/>
      <c r="F404" s="71" t="s">
        <v>217</v>
      </c>
      <c r="G404" s="70">
        <f>SUM(G405)</f>
        <v>0</v>
      </c>
      <c r="H404" s="70">
        <f t="shared" ref="H404:I404" si="221">SUM(H405)</f>
        <v>0</v>
      </c>
      <c r="I404" s="70">
        <f t="shared" si="221"/>
        <v>0</v>
      </c>
      <c r="J404" s="70">
        <f t="shared" si="184"/>
        <v>0</v>
      </c>
      <c r="K404" s="69"/>
    </row>
    <row r="405" spans="1:11" x14ac:dyDescent="0.2">
      <c r="A405" s="68">
        <v>2</v>
      </c>
      <c r="B405" s="67">
        <v>6</v>
      </c>
      <c r="C405" s="67">
        <v>7</v>
      </c>
      <c r="D405" s="67">
        <v>1</v>
      </c>
      <c r="E405" s="82" t="s">
        <v>178</v>
      </c>
      <c r="F405" s="66" t="s">
        <v>217</v>
      </c>
      <c r="G405" s="65"/>
      <c r="H405" s="65"/>
      <c r="I405" s="65"/>
      <c r="J405" s="64">
        <f t="shared" si="184"/>
        <v>0</v>
      </c>
      <c r="K405" s="63">
        <f t="shared" ref="K405" si="222">J405/$J$25</f>
        <v>0</v>
      </c>
    </row>
    <row r="406" spans="1:11" x14ac:dyDescent="0.2">
      <c r="A406" s="76">
        <v>2</v>
      </c>
      <c r="B406" s="73">
        <v>6</v>
      </c>
      <c r="C406" s="73">
        <v>7</v>
      </c>
      <c r="D406" s="73">
        <v>2</v>
      </c>
      <c r="E406" s="73"/>
      <c r="F406" s="71" t="s">
        <v>216</v>
      </c>
      <c r="G406" s="70">
        <f>SUM(G407)</f>
        <v>0</v>
      </c>
      <c r="H406" s="70">
        <f t="shared" ref="H406:I406" si="223">SUM(H407)</f>
        <v>0</v>
      </c>
      <c r="I406" s="70">
        <f t="shared" si="223"/>
        <v>0</v>
      </c>
      <c r="J406" s="70">
        <f t="shared" si="184"/>
        <v>0</v>
      </c>
      <c r="K406" s="69"/>
    </row>
    <row r="407" spans="1:11" x14ac:dyDescent="0.2">
      <c r="A407" s="75">
        <v>2</v>
      </c>
      <c r="B407" s="67">
        <v>6</v>
      </c>
      <c r="C407" s="67">
        <v>7</v>
      </c>
      <c r="D407" s="67">
        <v>2</v>
      </c>
      <c r="E407" s="82" t="s">
        <v>178</v>
      </c>
      <c r="F407" s="66" t="s">
        <v>216</v>
      </c>
      <c r="G407" s="65"/>
      <c r="H407" s="65"/>
      <c r="I407" s="65"/>
      <c r="J407" s="64">
        <f t="shared" si="184"/>
        <v>0</v>
      </c>
      <c r="K407" s="63">
        <f t="shared" ref="K407" si="224">J407/$J$25</f>
        <v>0</v>
      </c>
    </row>
    <row r="408" spans="1:11" x14ac:dyDescent="0.2">
      <c r="A408" s="76">
        <v>2</v>
      </c>
      <c r="B408" s="73">
        <v>6</v>
      </c>
      <c r="C408" s="73">
        <v>7</v>
      </c>
      <c r="D408" s="73">
        <v>3</v>
      </c>
      <c r="E408" s="73"/>
      <c r="F408" s="71" t="s">
        <v>215</v>
      </c>
      <c r="G408" s="70">
        <f>SUM(G409)</f>
        <v>0</v>
      </c>
      <c r="H408" s="70">
        <f t="shared" ref="H408:I408" si="225">SUM(H409)</f>
        <v>0</v>
      </c>
      <c r="I408" s="70">
        <f t="shared" si="225"/>
        <v>0</v>
      </c>
      <c r="J408" s="70">
        <f t="shared" si="184"/>
        <v>0</v>
      </c>
      <c r="K408" s="69"/>
    </row>
    <row r="409" spans="1:11" x14ac:dyDescent="0.2">
      <c r="A409" s="75">
        <v>2</v>
      </c>
      <c r="B409" s="67">
        <v>6</v>
      </c>
      <c r="C409" s="67">
        <v>7</v>
      </c>
      <c r="D409" s="67">
        <v>3</v>
      </c>
      <c r="E409" s="82" t="s">
        <v>178</v>
      </c>
      <c r="F409" s="66" t="s">
        <v>215</v>
      </c>
      <c r="G409" s="65"/>
      <c r="H409" s="65"/>
      <c r="I409" s="65"/>
      <c r="J409" s="64">
        <f t="shared" si="184"/>
        <v>0</v>
      </c>
      <c r="K409" s="63">
        <f t="shared" ref="K409" si="226">J409/$J$25</f>
        <v>0</v>
      </c>
    </row>
    <row r="410" spans="1:11" x14ac:dyDescent="0.2">
      <c r="A410" s="76">
        <v>2</v>
      </c>
      <c r="B410" s="73">
        <v>6</v>
      </c>
      <c r="C410" s="73">
        <v>7</v>
      </c>
      <c r="D410" s="73">
        <v>4</v>
      </c>
      <c r="E410" s="73"/>
      <c r="F410" s="71" t="s">
        <v>214</v>
      </c>
      <c r="G410" s="70">
        <f>SUM(G411)</f>
        <v>0</v>
      </c>
      <c r="H410" s="70">
        <f t="shared" ref="H410:I410" si="227">SUM(H411)</f>
        <v>0</v>
      </c>
      <c r="I410" s="70">
        <f t="shared" si="227"/>
        <v>0</v>
      </c>
      <c r="J410" s="70">
        <f t="shared" si="184"/>
        <v>0</v>
      </c>
      <c r="K410" s="69"/>
    </row>
    <row r="411" spans="1:11" x14ac:dyDescent="0.2">
      <c r="A411" s="75">
        <v>2</v>
      </c>
      <c r="B411" s="67">
        <v>6</v>
      </c>
      <c r="C411" s="67">
        <v>7</v>
      </c>
      <c r="D411" s="67">
        <v>4</v>
      </c>
      <c r="E411" s="82" t="s">
        <v>178</v>
      </c>
      <c r="F411" s="66" t="s">
        <v>214</v>
      </c>
      <c r="G411" s="65"/>
      <c r="H411" s="65"/>
      <c r="I411" s="65"/>
      <c r="J411" s="64">
        <f t="shared" si="184"/>
        <v>0</v>
      </c>
      <c r="K411" s="63">
        <f t="shared" ref="K411" si="228">J411/$J$25</f>
        <v>0</v>
      </c>
    </row>
    <row r="412" spans="1:11" x14ac:dyDescent="0.2">
      <c r="A412" s="76">
        <v>2</v>
      </c>
      <c r="B412" s="73">
        <v>6</v>
      </c>
      <c r="C412" s="73">
        <v>7</v>
      </c>
      <c r="D412" s="73">
        <v>5</v>
      </c>
      <c r="E412" s="73"/>
      <c r="F412" s="71" t="s">
        <v>213</v>
      </c>
      <c r="G412" s="70">
        <f>SUM(G413)</f>
        <v>0</v>
      </c>
      <c r="H412" s="70">
        <f t="shared" ref="H412:I412" si="229">SUM(H413)</f>
        <v>0</v>
      </c>
      <c r="I412" s="70">
        <f t="shared" si="229"/>
        <v>0</v>
      </c>
      <c r="J412" s="70">
        <f t="shared" si="184"/>
        <v>0</v>
      </c>
      <c r="K412" s="69"/>
    </row>
    <row r="413" spans="1:11" x14ac:dyDescent="0.2">
      <c r="A413" s="75">
        <v>2</v>
      </c>
      <c r="B413" s="67">
        <v>6</v>
      </c>
      <c r="C413" s="67">
        <v>7</v>
      </c>
      <c r="D413" s="67">
        <v>5</v>
      </c>
      <c r="E413" s="82" t="s">
        <v>178</v>
      </c>
      <c r="F413" s="66" t="s">
        <v>213</v>
      </c>
      <c r="G413" s="65"/>
      <c r="H413" s="65"/>
      <c r="I413" s="65"/>
      <c r="J413" s="64">
        <f t="shared" si="184"/>
        <v>0</v>
      </c>
      <c r="K413" s="63">
        <f t="shared" ref="K413" si="230">J413/$J$25</f>
        <v>0</v>
      </c>
    </row>
    <row r="414" spans="1:11" x14ac:dyDescent="0.2">
      <c r="A414" s="76">
        <v>2</v>
      </c>
      <c r="B414" s="73">
        <v>6</v>
      </c>
      <c r="C414" s="73">
        <v>7</v>
      </c>
      <c r="D414" s="73">
        <v>6</v>
      </c>
      <c r="E414" s="73"/>
      <c r="F414" s="71" t="s">
        <v>212</v>
      </c>
      <c r="G414" s="70">
        <f>SUM(G415)</f>
        <v>0</v>
      </c>
      <c r="H414" s="70">
        <f t="shared" ref="H414:I414" si="231">SUM(H415)</f>
        <v>0</v>
      </c>
      <c r="I414" s="70">
        <f t="shared" si="231"/>
        <v>0</v>
      </c>
      <c r="J414" s="70">
        <f t="shared" si="184"/>
        <v>0</v>
      </c>
      <c r="K414" s="69"/>
    </row>
    <row r="415" spans="1:11" x14ac:dyDescent="0.2">
      <c r="A415" s="75">
        <v>2</v>
      </c>
      <c r="B415" s="67">
        <v>6</v>
      </c>
      <c r="C415" s="67">
        <v>7</v>
      </c>
      <c r="D415" s="67">
        <v>6</v>
      </c>
      <c r="E415" s="82" t="s">
        <v>178</v>
      </c>
      <c r="F415" s="66" t="s">
        <v>212</v>
      </c>
      <c r="G415" s="65"/>
      <c r="H415" s="65"/>
      <c r="I415" s="65"/>
      <c r="J415" s="64">
        <f t="shared" si="184"/>
        <v>0</v>
      </c>
      <c r="K415" s="63">
        <f t="shared" ref="K415" si="232">J415/$J$25</f>
        <v>0</v>
      </c>
    </row>
    <row r="416" spans="1:11" x14ac:dyDescent="0.2">
      <c r="A416" s="76">
        <v>2</v>
      </c>
      <c r="B416" s="73">
        <v>6</v>
      </c>
      <c r="C416" s="73">
        <v>7</v>
      </c>
      <c r="D416" s="73">
        <v>7</v>
      </c>
      <c r="E416" s="73"/>
      <c r="F416" s="71" t="s">
        <v>211</v>
      </c>
      <c r="G416" s="70">
        <f>SUM(G417)</f>
        <v>0</v>
      </c>
      <c r="H416" s="70">
        <f t="shared" ref="H416:I416" si="233">SUM(H417)</f>
        <v>0</v>
      </c>
      <c r="I416" s="70">
        <f t="shared" si="233"/>
        <v>0</v>
      </c>
      <c r="J416" s="70">
        <f t="shared" si="184"/>
        <v>0</v>
      </c>
      <c r="K416" s="69"/>
    </row>
    <row r="417" spans="1:11" x14ac:dyDescent="0.2">
      <c r="A417" s="75">
        <v>2</v>
      </c>
      <c r="B417" s="67">
        <v>6</v>
      </c>
      <c r="C417" s="67">
        <v>7</v>
      </c>
      <c r="D417" s="67">
        <v>7</v>
      </c>
      <c r="E417" s="82" t="s">
        <v>178</v>
      </c>
      <c r="F417" s="66" t="s">
        <v>211</v>
      </c>
      <c r="G417" s="65"/>
      <c r="H417" s="65"/>
      <c r="I417" s="65"/>
      <c r="J417" s="64">
        <f t="shared" si="184"/>
        <v>0</v>
      </c>
      <c r="K417" s="63">
        <f t="shared" ref="K417" si="234">J417/$J$25</f>
        <v>0</v>
      </c>
    </row>
    <row r="418" spans="1:11" x14ac:dyDescent="0.2">
      <c r="A418" s="76">
        <v>2</v>
      </c>
      <c r="B418" s="73">
        <v>6</v>
      </c>
      <c r="C418" s="73">
        <v>7</v>
      </c>
      <c r="D418" s="73">
        <v>8</v>
      </c>
      <c r="E418" s="73"/>
      <c r="F418" s="71" t="s">
        <v>210</v>
      </c>
      <c r="G418" s="70">
        <f>SUM(G419)</f>
        <v>0</v>
      </c>
      <c r="H418" s="70">
        <f t="shared" ref="H418:I418" si="235">SUM(H419)</f>
        <v>0</v>
      </c>
      <c r="I418" s="70">
        <f t="shared" si="235"/>
        <v>0</v>
      </c>
      <c r="J418" s="70">
        <f t="shared" si="184"/>
        <v>0</v>
      </c>
      <c r="K418" s="69"/>
    </row>
    <row r="419" spans="1:11" x14ac:dyDescent="0.2">
      <c r="A419" s="75">
        <v>2</v>
      </c>
      <c r="B419" s="67">
        <v>6</v>
      </c>
      <c r="C419" s="67">
        <v>7</v>
      </c>
      <c r="D419" s="67">
        <v>8</v>
      </c>
      <c r="E419" s="82" t="s">
        <v>178</v>
      </c>
      <c r="F419" s="66" t="s">
        <v>210</v>
      </c>
      <c r="G419" s="65"/>
      <c r="H419" s="65"/>
      <c r="I419" s="65"/>
      <c r="J419" s="64">
        <f t="shared" si="184"/>
        <v>0</v>
      </c>
      <c r="K419" s="63">
        <f t="shared" ref="K419" si="236">J419/$J$25</f>
        <v>0</v>
      </c>
    </row>
    <row r="420" spans="1:11" x14ac:dyDescent="0.2">
      <c r="A420" s="76">
        <v>2</v>
      </c>
      <c r="B420" s="73">
        <v>6</v>
      </c>
      <c r="C420" s="73">
        <v>7</v>
      </c>
      <c r="D420" s="73">
        <v>9</v>
      </c>
      <c r="E420" s="73"/>
      <c r="F420" s="71" t="s">
        <v>209</v>
      </c>
      <c r="G420" s="70">
        <f>SUM(G421)</f>
        <v>0</v>
      </c>
      <c r="H420" s="70">
        <f t="shared" ref="H420:I420" si="237">SUM(H421)</f>
        <v>0</v>
      </c>
      <c r="I420" s="70">
        <f t="shared" si="237"/>
        <v>0</v>
      </c>
      <c r="J420" s="70">
        <f t="shared" si="184"/>
        <v>0</v>
      </c>
      <c r="K420" s="69"/>
    </row>
    <row r="421" spans="1:11" x14ac:dyDescent="0.2">
      <c r="A421" s="75">
        <v>2</v>
      </c>
      <c r="B421" s="67">
        <v>6</v>
      </c>
      <c r="C421" s="67">
        <v>7</v>
      </c>
      <c r="D421" s="67">
        <v>9</v>
      </c>
      <c r="E421" s="82" t="s">
        <v>178</v>
      </c>
      <c r="F421" s="66" t="s">
        <v>209</v>
      </c>
      <c r="G421" s="65"/>
      <c r="H421" s="65"/>
      <c r="I421" s="65"/>
      <c r="J421" s="64">
        <f t="shared" si="184"/>
        <v>0</v>
      </c>
      <c r="K421" s="63">
        <f t="shared" ref="K421" si="238">J421/$J$25</f>
        <v>0</v>
      </c>
    </row>
    <row r="422" spans="1:11" x14ac:dyDescent="0.2">
      <c r="A422" s="81">
        <v>2</v>
      </c>
      <c r="B422" s="80">
        <v>6</v>
      </c>
      <c r="C422" s="80">
        <v>8</v>
      </c>
      <c r="D422" s="80"/>
      <c r="E422" s="80"/>
      <c r="F422" s="79" t="s">
        <v>208</v>
      </c>
      <c r="G422" s="78">
        <f>G423+G425+G427+G430+G432+G434+G436+G438+G443</f>
        <v>0</v>
      </c>
      <c r="H422" s="78">
        <f t="shared" ref="H422:I422" si="239">H423+H425+H427+H430+H432+H434+H436+H438+H443</f>
        <v>850000</v>
      </c>
      <c r="I422" s="78">
        <f t="shared" si="239"/>
        <v>0</v>
      </c>
      <c r="J422" s="78">
        <f t="shared" ref="J422:J444" si="240">SUM(G422:I422)</f>
        <v>850000</v>
      </c>
      <c r="K422" s="77"/>
    </row>
    <row r="423" spans="1:11" x14ac:dyDescent="0.2">
      <c r="A423" s="76">
        <v>2</v>
      </c>
      <c r="B423" s="73">
        <v>6</v>
      </c>
      <c r="C423" s="73">
        <v>8</v>
      </c>
      <c r="D423" s="73">
        <v>1</v>
      </c>
      <c r="E423" s="73"/>
      <c r="F423" s="71" t="s">
        <v>207</v>
      </c>
      <c r="G423" s="70">
        <f>+G424</f>
        <v>0</v>
      </c>
      <c r="H423" s="70">
        <f t="shared" ref="H423:I423" si="241">+H424</f>
        <v>0</v>
      </c>
      <c r="I423" s="70">
        <f t="shared" si="241"/>
        <v>0</v>
      </c>
      <c r="J423" s="70">
        <f t="shared" si="240"/>
        <v>0</v>
      </c>
      <c r="K423" s="69"/>
    </row>
    <row r="424" spans="1:11" x14ac:dyDescent="0.2">
      <c r="A424" s="75">
        <v>2</v>
      </c>
      <c r="B424" s="67">
        <v>6</v>
      </c>
      <c r="C424" s="67">
        <v>8</v>
      </c>
      <c r="D424" s="67">
        <v>1</v>
      </c>
      <c r="E424" s="82" t="s">
        <v>178</v>
      </c>
      <c r="F424" s="66" t="s">
        <v>207</v>
      </c>
      <c r="G424" s="65"/>
      <c r="H424" s="65"/>
      <c r="I424" s="65"/>
      <c r="J424" s="64">
        <f t="shared" si="240"/>
        <v>0</v>
      </c>
      <c r="K424" s="63">
        <f t="shared" ref="K424" si="242">J424/$J$25</f>
        <v>0</v>
      </c>
    </row>
    <row r="425" spans="1:11" x14ac:dyDescent="0.2">
      <c r="A425" s="76">
        <v>2</v>
      </c>
      <c r="B425" s="73">
        <v>6</v>
      </c>
      <c r="C425" s="73">
        <v>8</v>
      </c>
      <c r="D425" s="73">
        <v>2</v>
      </c>
      <c r="E425" s="73"/>
      <c r="F425" s="71" t="s">
        <v>206</v>
      </c>
      <c r="G425" s="70">
        <f>+G426</f>
        <v>0</v>
      </c>
      <c r="H425" s="70">
        <f t="shared" ref="H425:I425" si="243">+H426</f>
        <v>0</v>
      </c>
      <c r="I425" s="70">
        <f t="shared" si="243"/>
        <v>0</v>
      </c>
      <c r="J425" s="70">
        <f t="shared" si="240"/>
        <v>0</v>
      </c>
      <c r="K425" s="69"/>
    </row>
    <row r="426" spans="1:11" x14ac:dyDescent="0.2">
      <c r="A426" s="75">
        <v>2</v>
      </c>
      <c r="B426" s="67">
        <v>6</v>
      </c>
      <c r="C426" s="67">
        <v>8</v>
      </c>
      <c r="D426" s="67">
        <v>2</v>
      </c>
      <c r="E426" s="82" t="s">
        <v>178</v>
      </c>
      <c r="F426" s="66" t="s">
        <v>206</v>
      </c>
      <c r="G426" s="65"/>
      <c r="H426" s="65"/>
      <c r="I426" s="65"/>
      <c r="J426" s="64">
        <f t="shared" si="240"/>
        <v>0</v>
      </c>
      <c r="K426" s="63">
        <f t="shared" ref="K426" si="244">J426/$J$25</f>
        <v>0</v>
      </c>
    </row>
    <row r="427" spans="1:11" x14ac:dyDescent="0.2">
      <c r="A427" s="76">
        <v>2</v>
      </c>
      <c r="B427" s="73">
        <v>6</v>
      </c>
      <c r="C427" s="73">
        <v>8</v>
      </c>
      <c r="D427" s="73">
        <v>3</v>
      </c>
      <c r="E427" s="73"/>
      <c r="F427" s="71" t="s">
        <v>205</v>
      </c>
      <c r="G427" s="70">
        <f>SUM(G428:G429)</f>
        <v>0</v>
      </c>
      <c r="H427" s="70">
        <f t="shared" ref="H427:I427" si="245">SUM(H428:H429)</f>
        <v>0</v>
      </c>
      <c r="I427" s="70">
        <f t="shared" si="245"/>
        <v>0</v>
      </c>
      <c r="J427" s="70">
        <f t="shared" si="240"/>
        <v>0</v>
      </c>
      <c r="K427" s="69"/>
    </row>
    <row r="428" spans="1:11" x14ac:dyDescent="0.2">
      <c r="A428" s="75">
        <v>2</v>
      </c>
      <c r="B428" s="67">
        <v>6</v>
      </c>
      <c r="C428" s="67">
        <v>8</v>
      </c>
      <c r="D428" s="67">
        <v>3</v>
      </c>
      <c r="E428" s="82" t="s">
        <v>178</v>
      </c>
      <c r="F428" s="66" t="s">
        <v>204</v>
      </c>
      <c r="G428" s="65"/>
      <c r="H428" s="65"/>
      <c r="I428" s="65"/>
      <c r="J428" s="64">
        <f t="shared" si="240"/>
        <v>0</v>
      </c>
      <c r="K428" s="63">
        <f t="shared" ref="K428:K429" si="246">J428/$J$25</f>
        <v>0</v>
      </c>
    </row>
    <row r="429" spans="1:11" x14ac:dyDescent="0.2">
      <c r="A429" s="75">
        <v>2</v>
      </c>
      <c r="B429" s="67">
        <v>6</v>
      </c>
      <c r="C429" s="67">
        <v>8</v>
      </c>
      <c r="D429" s="67">
        <v>3</v>
      </c>
      <c r="E429" s="82" t="s">
        <v>182</v>
      </c>
      <c r="F429" s="66" t="s">
        <v>203</v>
      </c>
      <c r="G429" s="65"/>
      <c r="H429" s="65"/>
      <c r="I429" s="65"/>
      <c r="J429" s="64">
        <f t="shared" si="240"/>
        <v>0</v>
      </c>
      <c r="K429" s="63">
        <f t="shared" si="246"/>
        <v>0</v>
      </c>
    </row>
    <row r="430" spans="1:11" x14ac:dyDescent="0.2">
      <c r="A430" s="76">
        <v>2</v>
      </c>
      <c r="B430" s="73">
        <v>6</v>
      </c>
      <c r="C430" s="73">
        <v>8</v>
      </c>
      <c r="D430" s="73">
        <v>4</v>
      </c>
      <c r="E430" s="73"/>
      <c r="F430" s="71" t="s">
        <v>202</v>
      </c>
      <c r="G430" s="70">
        <f>+G431</f>
        <v>0</v>
      </c>
      <c r="H430" s="70">
        <f t="shared" ref="H430:I430" si="247">+H431</f>
        <v>0</v>
      </c>
      <c r="I430" s="70">
        <f t="shared" si="247"/>
        <v>0</v>
      </c>
      <c r="J430" s="70">
        <f t="shared" si="240"/>
        <v>0</v>
      </c>
      <c r="K430" s="69"/>
    </row>
    <row r="431" spans="1:11" x14ac:dyDescent="0.2">
      <c r="A431" s="75">
        <v>2</v>
      </c>
      <c r="B431" s="67">
        <v>6</v>
      </c>
      <c r="C431" s="67">
        <v>8</v>
      </c>
      <c r="D431" s="67">
        <v>4</v>
      </c>
      <c r="E431" s="82" t="s">
        <v>178</v>
      </c>
      <c r="F431" s="66" t="s">
        <v>202</v>
      </c>
      <c r="G431" s="65"/>
      <c r="H431" s="65"/>
      <c r="I431" s="65"/>
      <c r="J431" s="64">
        <f t="shared" si="240"/>
        <v>0</v>
      </c>
      <c r="K431" s="63">
        <f t="shared" ref="K431" si="248">J431/$J$25</f>
        <v>0</v>
      </c>
    </row>
    <row r="432" spans="1:11" x14ac:dyDescent="0.2">
      <c r="A432" s="76">
        <v>2</v>
      </c>
      <c r="B432" s="73">
        <v>6</v>
      </c>
      <c r="C432" s="73">
        <v>8</v>
      </c>
      <c r="D432" s="73">
        <v>5</v>
      </c>
      <c r="E432" s="73"/>
      <c r="F432" s="71" t="s">
        <v>201</v>
      </c>
      <c r="G432" s="70">
        <f>+G433</f>
        <v>0</v>
      </c>
      <c r="H432" s="70">
        <f t="shared" ref="H432:I432" si="249">+H433</f>
        <v>0</v>
      </c>
      <c r="I432" s="70">
        <f t="shared" si="249"/>
        <v>0</v>
      </c>
      <c r="J432" s="70">
        <f t="shared" si="240"/>
        <v>0</v>
      </c>
      <c r="K432" s="69"/>
    </row>
    <row r="433" spans="1:11" x14ac:dyDescent="0.2">
      <c r="A433" s="75">
        <v>2</v>
      </c>
      <c r="B433" s="67">
        <v>6</v>
      </c>
      <c r="C433" s="67">
        <v>8</v>
      </c>
      <c r="D433" s="67">
        <v>5</v>
      </c>
      <c r="E433" s="82" t="s">
        <v>178</v>
      </c>
      <c r="F433" s="66" t="s">
        <v>201</v>
      </c>
      <c r="G433" s="64"/>
      <c r="H433" s="64"/>
      <c r="I433" s="65"/>
      <c r="J433" s="64">
        <f t="shared" si="240"/>
        <v>0</v>
      </c>
      <c r="K433" s="63">
        <f t="shared" ref="K433" si="250">J433/$J$25</f>
        <v>0</v>
      </c>
    </row>
    <row r="434" spans="1:11" x14ac:dyDescent="0.2">
      <c r="A434" s="76">
        <v>2</v>
      </c>
      <c r="B434" s="73">
        <v>6</v>
      </c>
      <c r="C434" s="73">
        <v>8</v>
      </c>
      <c r="D434" s="73">
        <v>6</v>
      </c>
      <c r="E434" s="73"/>
      <c r="F434" s="71" t="s">
        <v>200</v>
      </c>
      <c r="G434" s="70">
        <f>+G435</f>
        <v>0</v>
      </c>
      <c r="H434" s="70">
        <f t="shared" ref="H434:I434" si="251">+H435</f>
        <v>0</v>
      </c>
      <c r="I434" s="70">
        <f t="shared" si="251"/>
        <v>0</v>
      </c>
      <c r="J434" s="70">
        <f t="shared" si="240"/>
        <v>0</v>
      </c>
      <c r="K434" s="69"/>
    </row>
    <row r="435" spans="1:11" x14ac:dyDescent="0.2">
      <c r="A435" s="75">
        <v>2</v>
      </c>
      <c r="B435" s="67">
        <v>6</v>
      </c>
      <c r="C435" s="67">
        <v>8</v>
      </c>
      <c r="D435" s="67">
        <v>6</v>
      </c>
      <c r="E435" s="82" t="s">
        <v>178</v>
      </c>
      <c r="F435" s="66" t="s">
        <v>200</v>
      </c>
      <c r="G435" s="64"/>
      <c r="H435" s="64"/>
      <c r="I435" s="65"/>
      <c r="J435" s="64">
        <f t="shared" si="240"/>
        <v>0</v>
      </c>
      <c r="K435" s="63">
        <f t="shared" ref="K435" si="252">J435/$J$25</f>
        <v>0</v>
      </c>
    </row>
    <row r="436" spans="1:11" x14ac:dyDescent="0.2">
      <c r="A436" s="76">
        <v>2</v>
      </c>
      <c r="B436" s="73">
        <v>6</v>
      </c>
      <c r="C436" s="73">
        <v>8</v>
      </c>
      <c r="D436" s="73">
        <v>7</v>
      </c>
      <c r="E436" s="73"/>
      <c r="F436" s="71" t="s">
        <v>199</v>
      </c>
      <c r="G436" s="70">
        <f>+G437</f>
        <v>0</v>
      </c>
      <c r="H436" s="70">
        <f t="shared" ref="H436:I436" si="253">+H437</f>
        <v>0</v>
      </c>
      <c r="I436" s="70">
        <f t="shared" si="253"/>
        <v>0</v>
      </c>
      <c r="J436" s="70">
        <f t="shared" si="240"/>
        <v>0</v>
      </c>
      <c r="K436" s="69"/>
    </row>
    <row r="437" spans="1:11" x14ac:dyDescent="0.2">
      <c r="A437" s="75"/>
      <c r="B437" s="67"/>
      <c r="C437" s="67">
        <v>8</v>
      </c>
      <c r="D437" s="67">
        <v>7</v>
      </c>
      <c r="E437" s="82" t="s">
        <v>178</v>
      </c>
      <c r="F437" s="66" t="s">
        <v>199</v>
      </c>
      <c r="G437" s="65"/>
      <c r="H437" s="65"/>
      <c r="I437" s="65"/>
      <c r="J437" s="64">
        <f t="shared" si="240"/>
        <v>0</v>
      </c>
      <c r="K437" s="63">
        <f t="shared" ref="K437" si="254">J437/$J$25</f>
        <v>0</v>
      </c>
    </row>
    <row r="438" spans="1:11" ht="25.5" x14ac:dyDescent="0.2">
      <c r="A438" s="74">
        <v>2</v>
      </c>
      <c r="B438" s="73">
        <v>6</v>
      </c>
      <c r="C438" s="73">
        <v>8</v>
      </c>
      <c r="D438" s="73">
        <v>8</v>
      </c>
      <c r="E438" s="73"/>
      <c r="F438" s="71" t="s">
        <v>198</v>
      </c>
      <c r="G438" s="70">
        <f>SUM(G439:G442)</f>
        <v>0</v>
      </c>
      <c r="H438" s="70">
        <f t="shared" ref="H438:I438" si="255">SUM(H439:H442)</f>
        <v>850000</v>
      </c>
      <c r="I438" s="70">
        <f t="shared" si="255"/>
        <v>0</v>
      </c>
      <c r="J438" s="70">
        <f t="shared" si="240"/>
        <v>850000</v>
      </c>
      <c r="K438" s="69"/>
    </row>
    <row r="439" spans="1:11" x14ac:dyDescent="0.2">
      <c r="A439" s="75">
        <v>2</v>
      </c>
      <c r="B439" s="67">
        <v>6</v>
      </c>
      <c r="C439" s="67">
        <v>8</v>
      </c>
      <c r="D439" s="67">
        <v>8</v>
      </c>
      <c r="E439" s="67" t="s">
        <v>155</v>
      </c>
      <c r="F439" s="66" t="s">
        <v>197</v>
      </c>
      <c r="G439" s="64"/>
      <c r="H439" s="64">
        <v>850000</v>
      </c>
      <c r="I439" s="64"/>
      <c r="J439" s="64">
        <f t="shared" si="240"/>
        <v>850000</v>
      </c>
      <c r="K439" s="63">
        <f t="shared" ref="K439:K442" si="256">J439/$J$25</f>
        <v>8.2145073850454723E-3</v>
      </c>
    </row>
    <row r="440" spans="1:11" x14ac:dyDescent="0.2">
      <c r="A440" s="75">
        <v>2</v>
      </c>
      <c r="B440" s="67">
        <v>6</v>
      </c>
      <c r="C440" s="67">
        <v>8</v>
      </c>
      <c r="D440" s="67">
        <v>8</v>
      </c>
      <c r="E440" s="67" t="s">
        <v>196</v>
      </c>
      <c r="F440" s="66" t="s">
        <v>195</v>
      </c>
      <c r="G440" s="64"/>
      <c r="H440" s="64"/>
      <c r="I440" s="64"/>
      <c r="J440" s="64">
        <f t="shared" si="240"/>
        <v>0</v>
      </c>
      <c r="K440" s="63">
        <f t="shared" si="256"/>
        <v>0</v>
      </c>
    </row>
    <row r="441" spans="1:11" x14ac:dyDescent="0.2">
      <c r="A441" s="75">
        <v>2</v>
      </c>
      <c r="B441" s="67">
        <v>6</v>
      </c>
      <c r="C441" s="67">
        <v>8</v>
      </c>
      <c r="D441" s="67">
        <v>8</v>
      </c>
      <c r="E441" s="67" t="s">
        <v>194</v>
      </c>
      <c r="F441" s="66" t="s">
        <v>193</v>
      </c>
      <c r="G441" s="64"/>
      <c r="H441" s="64"/>
      <c r="I441" s="64"/>
      <c r="J441" s="64">
        <f t="shared" si="240"/>
        <v>0</v>
      </c>
      <c r="K441" s="63">
        <f t="shared" si="256"/>
        <v>0</v>
      </c>
    </row>
    <row r="442" spans="1:11" x14ac:dyDescent="0.2">
      <c r="A442" s="75">
        <v>2</v>
      </c>
      <c r="B442" s="67">
        <v>6</v>
      </c>
      <c r="C442" s="67">
        <v>8</v>
      </c>
      <c r="D442" s="67">
        <v>8</v>
      </c>
      <c r="E442" s="67" t="s">
        <v>192</v>
      </c>
      <c r="F442" s="66" t="s">
        <v>191</v>
      </c>
      <c r="G442" s="64"/>
      <c r="H442" s="64"/>
      <c r="I442" s="64"/>
      <c r="J442" s="64">
        <f t="shared" si="240"/>
        <v>0</v>
      </c>
      <c r="K442" s="63">
        <f t="shared" si="256"/>
        <v>0</v>
      </c>
    </row>
    <row r="443" spans="1:11" x14ac:dyDescent="0.2">
      <c r="A443" s="76">
        <v>2</v>
      </c>
      <c r="B443" s="73">
        <v>6</v>
      </c>
      <c r="C443" s="73">
        <v>8</v>
      </c>
      <c r="D443" s="73">
        <v>9</v>
      </c>
      <c r="E443" s="73"/>
      <c r="F443" s="71" t="s">
        <v>190</v>
      </c>
      <c r="G443" s="70">
        <f>+G444</f>
        <v>0</v>
      </c>
      <c r="H443" s="70">
        <f t="shared" ref="H443:I443" si="257">+H444</f>
        <v>0</v>
      </c>
      <c r="I443" s="70">
        <f t="shared" si="257"/>
        <v>0</v>
      </c>
      <c r="J443" s="70">
        <f t="shared" si="240"/>
        <v>0</v>
      </c>
      <c r="K443" s="69"/>
    </row>
    <row r="444" spans="1:11" x14ac:dyDescent="0.2">
      <c r="A444" s="75">
        <v>2</v>
      </c>
      <c r="B444" s="67">
        <v>6</v>
      </c>
      <c r="C444" s="67">
        <v>8</v>
      </c>
      <c r="D444" s="67">
        <v>9</v>
      </c>
      <c r="E444" s="67" t="s">
        <v>155</v>
      </c>
      <c r="F444" s="66" t="s">
        <v>190</v>
      </c>
      <c r="G444" s="64"/>
      <c r="H444" s="64"/>
      <c r="I444" s="64"/>
      <c r="J444" s="64">
        <f t="shared" si="240"/>
        <v>0</v>
      </c>
      <c r="K444" s="63">
        <f t="shared" ref="K444" si="258">J444/$J$25</f>
        <v>0</v>
      </c>
    </row>
    <row r="445" spans="1:11" x14ac:dyDescent="0.2">
      <c r="A445" s="85">
        <v>2</v>
      </c>
      <c r="B445" s="80">
        <v>6</v>
      </c>
      <c r="C445" s="80">
        <v>9</v>
      </c>
      <c r="D445" s="80"/>
      <c r="E445" s="84"/>
      <c r="F445" s="79" t="s">
        <v>189</v>
      </c>
      <c r="G445" s="78">
        <f>+G446+G448+G450+G452+G454+G458</f>
        <v>0</v>
      </c>
      <c r="H445" s="78">
        <f t="shared" ref="H445:I445" si="259">+H446+H448+H450+H452+H454+H458</f>
        <v>0</v>
      </c>
      <c r="I445" s="78">
        <f t="shared" si="259"/>
        <v>0</v>
      </c>
      <c r="J445" s="78">
        <f t="shared" si="184"/>
        <v>0</v>
      </c>
      <c r="K445" s="77"/>
    </row>
    <row r="446" spans="1:11" x14ac:dyDescent="0.2">
      <c r="A446" s="76">
        <v>2</v>
      </c>
      <c r="B446" s="73">
        <v>6</v>
      </c>
      <c r="C446" s="73">
        <v>9</v>
      </c>
      <c r="D446" s="73">
        <v>1</v>
      </c>
      <c r="E446" s="73"/>
      <c r="F446" s="71" t="s">
        <v>188</v>
      </c>
      <c r="G446" s="70">
        <f>+G447</f>
        <v>0</v>
      </c>
      <c r="H446" s="70">
        <f t="shared" ref="H446:I446" si="260">+H447</f>
        <v>0</v>
      </c>
      <c r="I446" s="70">
        <f t="shared" si="260"/>
        <v>0</v>
      </c>
      <c r="J446" s="70">
        <f>SUM(G446:I446)</f>
        <v>0</v>
      </c>
      <c r="K446" s="70"/>
    </row>
    <row r="447" spans="1:11" x14ac:dyDescent="0.2">
      <c r="A447" s="195">
        <v>2</v>
      </c>
      <c r="B447" s="196">
        <v>6</v>
      </c>
      <c r="C447" s="196">
        <v>9</v>
      </c>
      <c r="D447" s="196">
        <v>1</v>
      </c>
      <c r="E447" s="196" t="s">
        <v>178</v>
      </c>
      <c r="F447" s="197" t="s">
        <v>188</v>
      </c>
      <c r="G447" s="83"/>
      <c r="H447" s="83"/>
      <c r="I447" s="83"/>
      <c r="J447" s="83">
        <f>SUM(G447:I447)</f>
        <v>0</v>
      </c>
      <c r="K447" s="63">
        <f>J447/$J$25</f>
        <v>0</v>
      </c>
    </row>
    <row r="448" spans="1:11" x14ac:dyDescent="0.2">
      <c r="A448" s="76">
        <v>2</v>
      </c>
      <c r="B448" s="73">
        <v>6</v>
      </c>
      <c r="C448" s="73">
        <v>9</v>
      </c>
      <c r="D448" s="73">
        <v>2</v>
      </c>
      <c r="E448" s="73"/>
      <c r="F448" s="71" t="s">
        <v>187</v>
      </c>
      <c r="G448" s="70">
        <f>SUM(G449)</f>
        <v>0</v>
      </c>
      <c r="H448" s="70">
        <f t="shared" ref="H448:I448" si="261">SUM(H449)</f>
        <v>0</v>
      </c>
      <c r="I448" s="70">
        <f t="shared" si="261"/>
        <v>0</v>
      </c>
      <c r="J448" s="70">
        <f>SUM(G448:I448)</f>
        <v>0</v>
      </c>
      <c r="K448" s="69"/>
    </row>
    <row r="449" spans="1:11" x14ac:dyDescent="0.2">
      <c r="A449" s="75">
        <v>2</v>
      </c>
      <c r="B449" s="67">
        <v>6</v>
      </c>
      <c r="C449" s="67">
        <v>9</v>
      </c>
      <c r="D449" s="67">
        <v>2</v>
      </c>
      <c r="E449" s="82" t="s">
        <v>178</v>
      </c>
      <c r="F449" s="66" t="s">
        <v>187</v>
      </c>
      <c r="G449" s="65"/>
      <c r="H449" s="65"/>
      <c r="I449" s="65"/>
      <c r="J449" s="64">
        <f>SUM(G449:I449)</f>
        <v>0</v>
      </c>
      <c r="K449" s="63">
        <f t="shared" ref="K449" si="262">J449/$J$25</f>
        <v>0</v>
      </c>
    </row>
    <row r="450" spans="1:11" x14ac:dyDescent="0.2">
      <c r="A450" s="76">
        <v>2</v>
      </c>
      <c r="B450" s="73">
        <v>6</v>
      </c>
      <c r="C450" s="73">
        <v>9</v>
      </c>
      <c r="D450" s="73">
        <v>3</v>
      </c>
      <c r="E450" s="73"/>
      <c r="F450" s="71" t="s">
        <v>186</v>
      </c>
      <c r="G450" s="70">
        <f>SUM(G451)</f>
        <v>0</v>
      </c>
      <c r="H450" s="70">
        <f t="shared" ref="H450:I450" si="263">SUM(H451)</f>
        <v>0</v>
      </c>
      <c r="I450" s="70">
        <f t="shared" si="263"/>
        <v>0</v>
      </c>
      <c r="J450" s="70">
        <f>SUM(G450:I450)</f>
        <v>0</v>
      </c>
      <c r="K450" s="70"/>
    </row>
    <row r="451" spans="1:11" x14ac:dyDescent="0.2">
      <c r="A451" s="75">
        <v>2</v>
      </c>
      <c r="B451" s="67">
        <v>6</v>
      </c>
      <c r="C451" s="67">
        <v>9</v>
      </c>
      <c r="D451" s="67">
        <v>3</v>
      </c>
      <c r="E451" s="82" t="s">
        <v>178</v>
      </c>
      <c r="F451" s="66" t="s">
        <v>186</v>
      </c>
      <c r="G451" s="65"/>
      <c r="H451" s="65"/>
      <c r="I451" s="65"/>
      <c r="J451" s="64">
        <f t="shared" si="184"/>
        <v>0</v>
      </c>
      <c r="K451" s="63">
        <f t="shared" ref="K451" si="264">J451/$J$25</f>
        <v>0</v>
      </c>
    </row>
    <row r="452" spans="1:11" x14ac:dyDescent="0.2">
      <c r="A452" s="76">
        <v>2</v>
      </c>
      <c r="B452" s="73">
        <v>6</v>
      </c>
      <c r="C452" s="73">
        <v>9</v>
      </c>
      <c r="D452" s="73">
        <v>4</v>
      </c>
      <c r="E452" s="73"/>
      <c r="F452" s="71" t="s">
        <v>185</v>
      </c>
      <c r="G452" s="70">
        <f>SUM(G453)</f>
        <v>0</v>
      </c>
      <c r="H452" s="70">
        <f t="shared" ref="H452:I452" si="265">SUM(H453)</f>
        <v>0</v>
      </c>
      <c r="I452" s="70">
        <f t="shared" si="265"/>
        <v>0</v>
      </c>
      <c r="J452" s="70">
        <f t="shared" si="184"/>
        <v>0</v>
      </c>
      <c r="K452" s="69"/>
    </row>
    <row r="453" spans="1:11" x14ac:dyDescent="0.2">
      <c r="A453" s="75">
        <v>2</v>
      </c>
      <c r="B453" s="67">
        <v>6</v>
      </c>
      <c r="C453" s="67">
        <v>9</v>
      </c>
      <c r="D453" s="67">
        <v>4</v>
      </c>
      <c r="E453" s="82" t="s">
        <v>178</v>
      </c>
      <c r="F453" s="66" t="s">
        <v>185</v>
      </c>
      <c r="G453" s="65"/>
      <c r="H453" s="65"/>
      <c r="I453" s="65"/>
      <c r="J453" s="64">
        <f t="shared" si="184"/>
        <v>0</v>
      </c>
      <c r="K453" s="63">
        <f t="shared" ref="K453" si="266">J453/$J$25</f>
        <v>0</v>
      </c>
    </row>
    <row r="454" spans="1:11" x14ac:dyDescent="0.2">
      <c r="A454" s="76">
        <v>2</v>
      </c>
      <c r="B454" s="73">
        <v>6</v>
      </c>
      <c r="C454" s="73">
        <v>9</v>
      </c>
      <c r="D454" s="73">
        <v>5</v>
      </c>
      <c r="E454" s="73"/>
      <c r="F454" s="71" t="s">
        <v>184</v>
      </c>
      <c r="G454" s="70">
        <f>SUM(G455:G457)</f>
        <v>0</v>
      </c>
      <c r="H454" s="70">
        <f t="shared" ref="H454:I454" si="267">SUM(H455:H457)</f>
        <v>0</v>
      </c>
      <c r="I454" s="70">
        <f t="shared" si="267"/>
        <v>0</v>
      </c>
      <c r="J454" s="70">
        <f t="shared" si="184"/>
        <v>0</v>
      </c>
      <c r="K454" s="69"/>
    </row>
    <row r="455" spans="1:11" x14ac:dyDescent="0.2">
      <c r="A455" s="75">
        <v>2</v>
      </c>
      <c r="B455" s="67">
        <v>6</v>
      </c>
      <c r="C455" s="67">
        <v>9</v>
      </c>
      <c r="D455" s="67">
        <v>5</v>
      </c>
      <c r="E455" s="82" t="s">
        <v>178</v>
      </c>
      <c r="F455" s="66" t="s">
        <v>183</v>
      </c>
      <c r="G455" s="65"/>
      <c r="H455" s="65"/>
      <c r="I455" s="65"/>
      <c r="J455" s="64">
        <f>SUM(G455:I455)</f>
        <v>0</v>
      </c>
      <c r="K455" s="63">
        <f t="shared" ref="K455:K457" si="268">J455/$J$25</f>
        <v>0</v>
      </c>
    </row>
    <row r="456" spans="1:11" x14ac:dyDescent="0.2">
      <c r="A456" s="75">
        <v>2</v>
      </c>
      <c r="B456" s="67">
        <v>6</v>
      </c>
      <c r="C456" s="67">
        <v>9</v>
      </c>
      <c r="D456" s="67">
        <v>5</v>
      </c>
      <c r="E456" s="82" t="s">
        <v>182</v>
      </c>
      <c r="F456" s="66" t="s">
        <v>181</v>
      </c>
      <c r="G456" s="65"/>
      <c r="H456" s="65"/>
      <c r="I456" s="65"/>
      <c r="J456" s="64">
        <f t="shared" ref="J456:J459" si="269">SUM(G456:I456)</f>
        <v>0</v>
      </c>
      <c r="K456" s="63">
        <f>J456/$J$25</f>
        <v>0</v>
      </c>
    </row>
    <row r="457" spans="1:11" x14ac:dyDescent="0.2">
      <c r="A457" s="75">
        <v>2</v>
      </c>
      <c r="B457" s="67">
        <v>6</v>
      </c>
      <c r="C457" s="67">
        <v>9</v>
      </c>
      <c r="D457" s="67">
        <v>5</v>
      </c>
      <c r="E457" s="82" t="s">
        <v>180</v>
      </c>
      <c r="F457" s="66" t="s">
        <v>179</v>
      </c>
      <c r="G457" s="65"/>
      <c r="H457" s="65"/>
      <c r="I457" s="65"/>
      <c r="J457" s="64">
        <f t="shared" si="269"/>
        <v>0</v>
      </c>
      <c r="K457" s="63">
        <f t="shared" si="268"/>
        <v>0</v>
      </c>
    </row>
    <row r="458" spans="1:11" x14ac:dyDescent="0.2">
      <c r="A458" s="76">
        <v>2</v>
      </c>
      <c r="B458" s="73">
        <v>6</v>
      </c>
      <c r="C458" s="73">
        <v>9</v>
      </c>
      <c r="D458" s="73">
        <v>9</v>
      </c>
      <c r="E458" s="73"/>
      <c r="F458" s="71" t="s">
        <v>177</v>
      </c>
      <c r="G458" s="70">
        <f>SUM(G459)</f>
        <v>0</v>
      </c>
      <c r="H458" s="70">
        <f t="shared" ref="H458:I458" si="270">SUM(H459)</f>
        <v>0</v>
      </c>
      <c r="I458" s="70">
        <f t="shared" si="270"/>
        <v>0</v>
      </c>
      <c r="J458" s="70">
        <f t="shared" si="269"/>
        <v>0</v>
      </c>
      <c r="K458" s="69"/>
    </row>
    <row r="459" spans="1:11" x14ac:dyDescent="0.2">
      <c r="A459" s="75">
        <v>2</v>
      </c>
      <c r="B459" s="67">
        <v>6</v>
      </c>
      <c r="C459" s="67">
        <v>9</v>
      </c>
      <c r="D459" s="67">
        <v>9</v>
      </c>
      <c r="E459" s="82" t="s">
        <v>178</v>
      </c>
      <c r="F459" s="66" t="s">
        <v>177</v>
      </c>
      <c r="G459" s="65"/>
      <c r="H459" s="65"/>
      <c r="I459" s="65"/>
      <c r="J459" s="64">
        <f t="shared" si="269"/>
        <v>0</v>
      </c>
      <c r="K459" s="63">
        <f>J459/$J$25</f>
        <v>0</v>
      </c>
    </row>
    <row r="460" spans="1:11" x14ac:dyDescent="0.2">
      <c r="A460" s="81">
        <v>2</v>
      </c>
      <c r="B460" s="80">
        <v>7</v>
      </c>
      <c r="C460" s="80"/>
      <c r="D460" s="80"/>
      <c r="E460" s="80"/>
      <c r="F460" s="79" t="s">
        <v>176</v>
      </c>
      <c r="G460" s="78">
        <f>G461+G470+G489+G494</f>
        <v>0</v>
      </c>
      <c r="H460" s="78">
        <f t="shared" ref="H460:I460" si="271">H461+H470+H489+H494</f>
        <v>0</v>
      </c>
      <c r="I460" s="78">
        <f t="shared" si="271"/>
        <v>0</v>
      </c>
      <c r="J460" s="78">
        <f>SUM(G460:I460)</f>
        <v>0</v>
      </c>
      <c r="K460" s="77">
        <f>J460/$J$25</f>
        <v>0</v>
      </c>
    </row>
    <row r="461" spans="1:11" x14ac:dyDescent="0.2">
      <c r="A461" s="81">
        <v>2</v>
      </c>
      <c r="B461" s="80">
        <v>7</v>
      </c>
      <c r="C461" s="80">
        <v>1</v>
      </c>
      <c r="D461" s="80"/>
      <c r="E461" s="80"/>
      <c r="F461" s="79" t="s">
        <v>175</v>
      </c>
      <c r="G461" s="78">
        <f>+G462+G464+G466+G468</f>
        <v>0</v>
      </c>
      <c r="H461" s="78">
        <f t="shared" ref="H461:I461" si="272">+H462+H464+H466+H468</f>
        <v>0</v>
      </c>
      <c r="I461" s="78">
        <f t="shared" si="272"/>
        <v>0</v>
      </c>
      <c r="J461" s="78">
        <f t="shared" ref="J461:J498" si="273">SUM(G461:I461)</f>
        <v>0</v>
      </c>
      <c r="K461" s="77"/>
    </row>
    <row r="462" spans="1:11" x14ac:dyDescent="0.2">
      <c r="A462" s="76">
        <v>2</v>
      </c>
      <c r="B462" s="73">
        <v>7</v>
      </c>
      <c r="C462" s="73">
        <v>1</v>
      </c>
      <c r="D462" s="73">
        <v>1</v>
      </c>
      <c r="E462" s="72"/>
      <c r="F462" s="71" t="s">
        <v>174</v>
      </c>
      <c r="G462" s="70">
        <f>+G463</f>
        <v>0</v>
      </c>
      <c r="H462" s="70">
        <f t="shared" ref="H462:I462" si="274">+H463</f>
        <v>0</v>
      </c>
      <c r="I462" s="70">
        <f t="shared" si="274"/>
        <v>0</v>
      </c>
      <c r="J462" s="70">
        <f t="shared" si="273"/>
        <v>0</v>
      </c>
      <c r="K462" s="69"/>
    </row>
    <row r="463" spans="1:11" x14ac:dyDescent="0.2">
      <c r="A463" s="75">
        <v>2</v>
      </c>
      <c r="B463" s="67">
        <v>7</v>
      </c>
      <c r="C463" s="67">
        <v>1</v>
      </c>
      <c r="D463" s="67">
        <v>1</v>
      </c>
      <c r="E463" s="67" t="s">
        <v>155</v>
      </c>
      <c r="F463" s="66" t="s">
        <v>174</v>
      </c>
      <c r="G463" s="65"/>
      <c r="H463" s="65"/>
      <c r="I463" s="65"/>
      <c r="J463" s="64">
        <f t="shared" si="273"/>
        <v>0</v>
      </c>
      <c r="K463" s="63">
        <f t="shared" ref="K463" si="275">J463/$J$25</f>
        <v>0</v>
      </c>
    </row>
    <row r="464" spans="1:11" x14ac:dyDescent="0.2">
      <c r="A464" s="76">
        <v>2</v>
      </c>
      <c r="B464" s="73">
        <v>7</v>
      </c>
      <c r="C464" s="73">
        <v>1</v>
      </c>
      <c r="D464" s="73">
        <v>2</v>
      </c>
      <c r="E464" s="72"/>
      <c r="F464" s="71" t="s">
        <v>173</v>
      </c>
      <c r="G464" s="70">
        <f>+G465</f>
        <v>0</v>
      </c>
      <c r="H464" s="70">
        <f t="shared" ref="H464:I464" si="276">+H465</f>
        <v>0</v>
      </c>
      <c r="I464" s="70">
        <f t="shared" si="276"/>
        <v>0</v>
      </c>
      <c r="J464" s="70">
        <f t="shared" si="273"/>
        <v>0</v>
      </c>
      <c r="K464" s="69"/>
    </row>
    <row r="465" spans="1:11" x14ac:dyDescent="0.2">
      <c r="A465" s="75">
        <v>2</v>
      </c>
      <c r="B465" s="67">
        <v>7</v>
      </c>
      <c r="C465" s="67">
        <v>1</v>
      </c>
      <c r="D465" s="67">
        <v>2</v>
      </c>
      <c r="E465" s="67" t="s">
        <v>155</v>
      </c>
      <c r="F465" s="66" t="s">
        <v>173</v>
      </c>
      <c r="G465" s="65"/>
      <c r="H465" s="65"/>
      <c r="I465" s="65"/>
      <c r="J465" s="64">
        <f t="shared" si="273"/>
        <v>0</v>
      </c>
      <c r="K465" s="63">
        <f t="shared" ref="K465" si="277">J465/$J$25</f>
        <v>0</v>
      </c>
    </row>
    <row r="466" spans="1:11" x14ac:dyDescent="0.2">
      <c r="A466" s="76">
        <v>2</v>
      </c>
      <c r="B466" s="73">
        <v>7</v>
      </c>
      <c r="C466" s="73">
        <v>1</v>
      </c>
      <c r="D466" s="73">
        <v>3</v>
      </c>
      <c r="E466" s="72"/>
      <c r="F466" s="71" t="s">
        <v>172</v>
      </c>
      <c r="G466" s="70">
        <f>+G467</f>
        <v>0</v>
      </c>
      <c r="H466" s="70">
        <f t="shared" ref="H466:I466" si="278">+H467</f>
        <v>0</v>
      </c>
      <c r="I466" s="70">
        <f t="shared" si="278"/>
        <v>0</v>
      </c>
      <c r="J466" s="70">
        <f t="shared" si="273"/>
        <v>0</v>
      </c>
      <c r="K466" s="69"/>
    </row>
    <row r="467" spans="1:11" x14ac:dyDescent="0.2">
      <c r="A467" s="75">
        <v>2</v>
      </c>
      <c r="B467" s="67">
        <v>7</v>
      </c>
      <c r="C467" s="67">
        <v>1</v>
      </c>
      <c r="D467" s="67">
        <v>3</v>
      </c>
      <c r="E467" s="67" t="s">
        <v>155</v>
      </c>
      <c r="F467" s="66" t="s">
        <v>172</v>
      </c>
      <c r="G467" s="64"/>
      <c r="H467" s="64"/>
      <c r="I467" s="65"/>
      <c r="J467" s="64">
        <f t="shared" si="273"/>
        <v>0</v>
      </c>
      <c r="K467" s="63">
        <f t="shared" ref="K467" si="279">J467/$J$25</f>
        <v>0</v>
      </c>
    </row>
    <row r="468" spans="1:11" x14ac:dyDescent="0.2">
      <c r="A468" s="76">
        <v>2</v>
      </c>
      <c r="B468" s="73">
        <v>7</v>
      </c>
      <c r="C468" s="73">
        <v>1</v>
      </c>
      <c r="D468" s="73">
        <v>4</v>
      </c>
      <c r="E468" s="72"/>
      <c r="F468" s="71" t="s">
        <v>171</v>
      </c>
      <c r="G468" s="70">
        <f>+G469</f>
        <v>0</v>
      </c>
      <c r="H468" s="70">
        <f t="shared" ref="H468:I468" si="280">+H469</f>
        <v>0</v>
      </c>
      <c r="I468" s="70">
        <f t="shared" si="280"/>
        <v>0</v>
      </c>
      <c r="J468" s="70">
        <f t="shared" si="273"/>
        <v>0</v>
      </c>
      <c r="K468" s="69"/>
    </row>
    <row r="469" spans="1:11" x14ac:dyDescent="0.2">
      <c r="A469" s="75">
        <v>2</v>
      </c>
      <c r="B469" s="67">
        <v>7</v>
      </c>
      <c r="C469" s="67">
        <v>1</v>
      </c>
      <c r="D469" s="67">
        <v>4</v>
      </c>
      <c r="E469" s="67" t="s">
        <v>155</v>
      </c>
      <c r="F469" s="66" t="s">
        <v>171</v>
      </c>
      <c r="G469" s="65"/>
      <c r="H469" s="65"/>
      <c r="I469" s="65"/>
      <c r="J469" s="64">
        <f t="shared" si="273"/>
        <v>0</v>
      </c>
      <c r="K469" s="63">
        <f t="shared" ref="K469" si="281">J469/$J$25</f>
        <v>0</v>
      </c>
    </row>
    <row r="470" spans="1:11" x14ac:dyDescent="0.2">
      <c r="A470" s="81">
        <v>2</v>
      </c>
      <c r="B470" s="80">
        <v>7</v>
      </c>
      <c r="C470" s="80">
        <v>2</v>
      </c>
      <c r="D470" s="80"/>
      <c r="E470" s="80"/>
      <c r="F470" s="79" t="s">
        <v>170</v>
      </c>
      <c r="G470" s="78">
        <f>+G471+G473+G475+G477+G479+G481+G483+G485+G487</f>
        <v>0</v>
      </c>
      <c r="H470" s="78">
        <f t="shared" ref="H470:I470" si="282">+H471+H473+H475+H477+H479+H481+H483+H485+H487</f>
        <v>0</v>
      </c>
      <c r="I470" s="78">
        <f t="shared" si="282"/>
        <v>0</v>
      </c>
      <c r="J470" s="78">
        <f>SUM(G470:I470)</f>
        <v>0</v>
      </c>
      <c r="K470" s="77"/>
    </row>
    <row r="471" spans="1:11" x14ac:dyDescent="0.2">
      <c r="A471" s="76">
        <v>2</v>
      </c>
      <c r="B471" s="73">
        <v>7</v>
      </c>
      <c r="C471" s="73">
        <v>2</v>
      </c>
      <c r="D471" s="73">
        <v>1</v>
      </c>
      <c r="E471" s="72"/>
      <c r="F471" s="71" t="s">
        <v>169</v>
      </c>
      <c r="G471" s="70">
        <f>+G472</f>
        <v>0</v>
      </c>
      <c r="H471" s="70">
        <f t="shared" ref="H471:I471" si="283">+H472</f>
        <v>0</v>
      </c>
      <c r="I471" s="70">
        <f t="shared" si="283"/>
        <v>0</v>
      </c>
      <c r="J471" s="70">
        <f>SUM(G471:I471)</f>
        <v>0</v>
      </c>
      <c r="K471" s="69"/>
    </row>
    <row r="472" spans="1:11" x14ac:dyDescent="0.2">
      <c r="A472" s="75">
        <v>2</v>
      </c>
      <c r="B472" s="67">
        <v>7</v>
      </c>
      <c r="C472" s="67">
        <v>2</v>
      </c>
      <c r="D472" s="67">
        <v>1</v>
      </c>
      <c r="E472" s="67" t="s">
        <v>155</v>
      </c>
      <c r="F472" s="66" t="s">
        <v>169</v>
      </c>
      <c r="G472" s="64"/>
      <c r="H472" s="64"/>
      <c r="I472" s="64"/>
      <c r="J472" s="64">
        <f t="shared" si="273"/>
        <v>0</v>
      </c>
      <c r="K472" s="63">
        <f t="shared" ref="K472" si="284">J472/$J$25</f>
        <v>0</v>
      </c>
    </row>
    <row r="473" spans="1:11" x14ac:dyDescent="0.2">
      <c r="A473" s="76">
        <v>2</v>
      </c>
      <c r="B473" s="73">
        <v>7</v>
      </c>
      <c r="C473" s="73">
        <v>2</v>
      </c>
      <c r="D473" s="73">
        <v>2</v>
      </c>
      <c r="E473" s="72"/>
      <c r="F473" s="71" t="s">
        <v>168</v>
      </c>
      <c r="G473" s="70">
        <f>+G474</f>
        <v>0</v>
      </c>
      <c r="H473" s="70">
        <f t="shared" ref="H473:I473" si="285">+H474</f>
        <v>0</v>
      </c>
      <c r="I473" s="70">
        <f t="shared" si="285"/>
        <v>0</v>
      </c>
      <c r="J473" s="70">
        <f t="shared" si="273"/>
        <v>0</v>
      </c>
      <c r="K473" s="69"/>
    </row>
    <row r="474" spans="1:11" x14ac:dyDescent="0.2">
      <c r="A474" s="75">
        <v>2</v>
      </c>
      <c r="B474" s="67">
        <v>7</v>
      </c>
      <c r="C474" s="67">
        <v>2</v>
      </c>
      <c r="D474" s="67">
        <v>2</v>
      </c>
      <c r="E474" s="67" t="s">
        <v>155</v>
      </c>
      <c r="F474" s="66" t="s">
        <v>168</v>
      </c>
      <c r="G474" s="64"/>
      <c r="H474" s="64"/>
      <c r="I474" s="64"/>
      <c r="J474" s="64">
        <f t="shared" si="273"/>
        <v>0</v>
      </c>
      <c r="K474" s="63">
        <f t="shared" ref="K474" si="286">J474/$J$25</f>
        <v>0</v>
      </c>
    </row>
    <row r="475" spans="1:11" x14ac:dyDescent="0.2">
      <c r="A475" s="76">
        <v>2</v>
      </c>
      <c r="B475" s="73">
        <v>7</v>
      </c>
      <c r="C475" s="73">
        <v>2</v>
      </c>
      <c r="D475" s="73">
        <v>3</v>
      </c>
      <c r="E475" s="72"/>
      <c r="F475" s="71" t="s">
        <v>167</v>
      </c>
      <c r="G475" s="70">
        <f>+G476</f>
        <v>0</v>
      </c>
      <c r="H475" s="70">
        <f t="shared" ref="H475:I475" si="287">+H476</f>
        <v>0</v>
      </c>
      <c r="I475" s="70">
        <f t="shared" si="287"/>
        <v>0</v>
      </c>
      <c r="J475" s="70">
        <f t="shared" si="273"/>
        <v>0</v>
      </c>
      <c r="K475" s="69"/>
    </row>
    <row r="476" spans="1:11" x14ac:dyDescent="0.2">
      <c r="A476" s="75">
        <v>2</v>
      </c>
      <c r="B476" s="67">
        <v>7</v>
      </c>
      <c r="C476" s="67">
        <v>2</v>
      </c>
      <c r="D476" s="67">
        <v>3</v>
      </c>
      <c r="E476" s="67" t="s">
        <v>155</v>
      </c>
      <c r="F476" s="66" t="s">
        <v>167</v>
      </c>
      <c r="G476" s="64"/>
      <c r="H476" s="64"/>
      <c r="I476" s="64"/>
      <c r="J476" s="64">
        <f t="shared" si="273"/>
        <v>0</v>
      </c>
      <c r="K476" s="63">
        <f t="shared" ref="K476" si="288">J476/$J$25</f>
        <v>0</v>
      </c>
    </row>
    <row r="477" spans="1:11" x14ac:dyDescent="0.2">
      <c r="A477" s="76">
        <v>2</v>
      </c>
      <c r="B477" s="73">
        <v>7</v>
      </c>
      <c r="C477" s="73">
        <v>2</v>
      </c>
      <c r="D477" s="73">
        <v>4</v>
      </c>
      <c r="E477" s="72"/>
      <c r="F477" s="71" t="s">
        <v>166</v>
      </c>
      <c r="G477" s="70">
        <f>+G478</f>
        <v>0</v>
      </c>
      <c r="H477" s="70">
        <f t="shared" ref="H477:I477" si="289">+H478</f>
        <v>0</v>
      </c>
      <c r="I477" s="70">
        <f t="shared" si="289"/>
        <v>0</v>
      </c>
      <c r="J477" s="70">
        <f t="shared" si="273"/>
        <v>0</v>
      </c>
      <c r="K477" s="69"/>
    </row>
    <row r="478" spans="1:11" x14ac:dyDescent="0.2">
      <c r="A478" s="75">
        <v>2</v>
      </c>
      <c r="B478" s="67">
        <v>7</v>
      </c>
      <c r="C478" s="67">
        <v>2</v>
      </c>
      <c r="D478" s="67">
        <v>4</v>
      </c>
      <c r="E478" s="67" t="s">
        <v>155</v>
      </c>
      <c r="F478" s="66" t="s">
        <v>166</v>
      </c>
      <c r="G478" s="64"/>
      <c r="H478" s="64"/>
      <c r="I478" s="64"/>
      <c r="J478" s="64">
        <f t="shared" si="273"/>
        <v>0</v>
      </c>
      <c r="K478" s="63">
        <f t="shared" ref="K478" si="290">J478/$J$25</f>
        <v>0</v>
      </c>
    </row>
    <row r="479" spans="1:11" x14ac:dyDescent="0.2">
      <c r="A479" s="76">
        <v>2</v>
      </c>
      <c r="B479" s="73">
        <v>7</v>
      </c>
      <c r="C479" s="73">
        <v>2</v>
      </c>
      <c r="D479" s="73">
        <v>5</v>
      </c>
      <c r="E479" s="72"/>
      <c r="F479" s="71" t="s">
        <v>165</v>
      </c>
      <c r="G479" s="70">
        <f>+G480</f>
        <v>0</v>
      </c>
      <c r="H479" s="70">
        <f t="shared" ref="H479:I479" si="291">+H480</f>
        <v>0</v>
      </c>
      <c r="I479" s="70">
        <f t="shared" si="291"/>
        <v>0</v>
      </c>
      <c r="J479" s="70">
        <f t="shared" si="273"/>
        <v>0</v>
      </c>
      <c r="K479" s="69"/>
    </row>
    <row r="480" spans="1:11" x14ac:dyDescent="0.2">
      <c r="A480" s="75">
        <v>2</v>
      </c>
      <c r="B480" s="67">
        <v>7</v>
      </c>
      <c r="C480" s="67">
        <v>2</v>
      </c>
      <c r="D480" s="67">
        <v>5</v>
      </c>
      <c r="E480" s="67" t="s">
        <v>155</v>
      </c>
      <c r="F480" s="66" t="s">
        <v>165</v>
      </c>
      <c r="G480" s="64"/>
      <c r="H480" s="64"/>
      <c r="I480" s="64"/>
      <c r="J480" s="64">
        <f t="shared" si="273"/>
        <v>0</v>
      </c>
      <c r="K480" s="63">
        <f t="shared" ref="K480" si="292">J480/$J$25</f>
        <v>0</v>
      </c>
    </row>
    <row r="481" spans="1:11" x14ac:dyDescent="0.2">
      <c r="A481" s="76">
        <v>2</v>
      </c>
      <c r="B481" s="73">
        <v>7</v>
      </c>
      <c r="C481" s="73">
        <v>2</v>
      </c>
      <c r="D481" s="73">
        <v>6</v>
      </c>
      <c r="E481" s="72"/>
      <c r="F481" s="71" t="s">
        <v>164</v>
      </c>
      <c r="G481" s="70">
        <f>+G482</f>
        <v>0</v>
      </c>
      <c r="H481" s="70">
        <f t="shared" ref="H481:I481" si="293">+H482</f>
        <v>0</v>
      </c>
      <c r="I481" s="70">
        <f t="shared" si="293"/>
        <v>0</v>
      </c>
      <c r="J481" s="70">
        <f t="shared" si="273"/>
        <v>0</v>
      </c>
      <c r="K481" s="69"/>
    </row>
    <row r="482" spans="1:11" x14ac:dyDescent="0.2">
      <c r="A482" s="75">
        <v>2</v>
      </c>
      <c r="B482" s="67">
        <v>7</v>
      </c>
      <c r="C482" s="67">
        <v>2</v>
      </c>
      <c r="D482" s="67">
        <v>6</v>
      </c>
      <c r="E482" s="67" t="s">
        <v>155</v>
      </c>
      <c r="F482" s="66" t="s">
        <v>164</v>
      </c>
      <c r="G482" s="64"/>
      <c r="H482" s="64"/>
      <c r="I482" s="64"/>
      <c r="J482" s="64">
        <f t="shared" si="273"/>
        <v>0</v>
      </c>
      <c r="K482" s="63">
        <f t="shared" ref="K482" si="294">J482/$J$25</f>
        <v>0</v>
      </c>
    </row>
    <row r="483" spans="1:11" x14ac:dyDescent="0.2">
      <c r="A483" s="76">
        <v>2</v>
      </c>
      <c r="B483" s="73">
        <v>7</v>
      </c>
      <c r="C483" s="73">
        <v>2</v>
      </c>
      <c r="D483" s="73">
        <v>7</v>
      </c>
      <c r="E483" s="72"/>
      <c r="F483" s="71" t="s">
        <v>163</v>
      </c>
      <c r="G483" s="70">
        <f>+G484</f>
        <v>0</v>
      </c>
      <c r="H483" s="70">
        <f t="shared" ref="H483:I483" si="295">+H484</f>
        <v>0</v>
      </c>
      <c r="I483" s="70">
        <f t="shared" si="295"/>
        <v>0</v>
      </c>
      <c r="J483" s="70">
        <f t="shared" si="273"/>
        <v>0</v>
      </c>
      <c r="K483" s="69"/>
    </row>
    <row r="484" spans="1:11" x14ac:dyDescent="0.2">
      <c r="A484" s="75">
        <v>2</v>
      </c>
      <c r="B484" s="67">
        <v>7</v>
      </c>
      <c r="C484" s="67">
        <v>2</v>
      </c>
      <c r="D484" s="67">
        <v>7</v>
      </c>
      <c r="E484" s="67" t="s">
        <v>155</v>
      </c>
      <c r="F484" s="66" t="s">
        <v>163</v>
      </c>
      <c r="G484" s="64"/>
      <c r="H484" s="64"/>
      <c r="I484" s="64"/>
      <c r="J484" s="64">
        <f t="shared" si="273"/>
        <v>0</v>
      </c>
      <c r="K484" s="63">
        <f t="shared" ref="K484" si="296">J484/$J$25</f>
        <v>0</v>
      </c>
    </row>
    <row r="485" spans="1:11" x14ac:dyDescent="0.2">
      <c r="A485" s="76">
        <v>2</v>
      </c>
      <c r="B485" s="73">
        <v>7</v>
      </c>
      <c r="C485" s="73">
        <v>2</v>
      </c>
      <c r="D485" s="73">
        <v>8</v>
      </c>
      <c r="E485" s="72"/>
      <c r="F485" s="71" t="s">
        <v>162</v>
      </c>
      <c r="G485" s="70">
        <f>+G486</f>
        <v>0</v>
      </c>
      <c r="H485" s="70">
        <f t="shared" ref="H485:I485" si="297">+H486</f>
        <v>0</v>
      </c>
      <c r="I485" s="70">
        <f t="shared" si="297"/>
        <v>0</v>
      </c>
      <c r="J485" s="70">
        <f t="shared" si="273"/>
        <v>0</v>
      </c>
      <c r="K485" s="69"/>
    </row>
    <row r="486" spans="1:11" x14ac:dyDescent="0.2">
      <c r="A486" s="75">
        <v>2</v>
      </c>
      <c r="B486" s="67">
        <v>7</v>
      </c>
      <c r="C486" s="67">
        <v>2</v>
      </c>
      <c r="D486" s="67">
        <v>8</v>
      </c>
      <c r="E486" s="67" t="s">
        <v>155</v>
      </c>
      <c r="F486" s="66" t="s">
        <v>162</v>
      </c>
      <c r="G486" s="64"/>
      <c r="H486" s="64"/>
      <c r="I486" s="64"/>
      <c r="J486" s="64">
        <f t="shared" si="273"/>
        <v>0</v>
      </c>
      <c r="K486" s="63">
        <f t="shared" ref="K486" si="298">J486/$J$25</f>
        <v>0</v>
      </c>
    </row>
    <row r="487" spans="1:11" x14ac:dyDescent="0.2">
      <c r="A487" s="76">
        <v>2</v>
      </c>
      <c r="B487" s="73">
        <v>7</v>
      </c>
      <c r="C487" s="73">
        <v>2</v>
      </c>
      <c r="D487" s="73">
        <v>9</v>
      </c>
      <c r="E487" s="72"/>
      <c r="F487" s="71" t="s">
        <v>161</v>
      </c>
      <c r="G487" s="70">
        <f>+G488</f>
        <v>0</v>
      </c>
      <c r="H487" s="70">
        <f t="shared" ref="H487:I487" si="299">+H488</f>
        <v>0</v>
      </c>
      <c r="I487" s="70">
        <f t="shared" si="299"/>
        <v>0</v>
      </c>
      <c r="J487" s="70">
        <f t="shared" si="273"/>
        <v>0</v>
      </c>
      <c r="K487" s="69"/>
    </row>
    <row r="488" spans="1:11" x14ac:dyDescent="0.2">
      <c r="A488" s="75">
        <v>2</v>
      </c>
      <c r="B488" s="67">
        <v>7</v>
      </c>
      <c r="C488" s="67">
        <v>2</v>
      </c>
      <c r="D488" s="67">
        <v>9</v>
      </c>
      <c r="E488" s="67" t="s">
        <v>155</v>
      </c>
      <c r="F488" s="66" t="s">
        <v>161</v>
      </c>
      <c r="G488" s="64"/>
      <c r="H488" s="64"/>
      <c r="I488" s="64"/>
      <c r="J488" s="64">
        <f t="shared" si="273"/>
        <v>0</v>
      </c>
      <c r="K488" s="63">
        <f t="shared" ref="K488" si="300">J488/$J$25</f>
        <v>0</v>
      </c>
    </row>
    <row r="489" spans="1:11" x14ac:dyDescent="0.2">
      <c r="A489" s="81">
        <v>2</v>
      </c>
      <c r="B489" s="80">
        <v>7</v>
      </c>
      <c r="C489" s="80">
        <v>3</v>
      </c>
      <c r="D489" s="80"/>
      <c r="E489" s="80"/>
      <c r="F489" s="79" t="s">
        <v>160</v>
      </c>
      <c r="G489" s="78">
        <f>+G490+G492</f>
        <v>0</v>
      </c>
      <c r="H489" s="78">
        <f t="shared" ref="H489:I489" si="301">+H490+H492</f>
        <v>0</v>
      </c>
      <c r="I489" s="78">
        <f t="shared" si="301"/>
        <v>0</v>
      </c>
      <c r="J489" s="78">
        <f t="shared" si="273"/>
        <v>0</v>
      </c>
      <c r="K489" s="77"/>
    </row>
    <row r="490" spans="1:11" x14ac:dyDescent="0.2">
      <c r="A490" s="76">
        <v>2</v>
      </c>
      <c r="B490" s="73">
        <v>7</v>
      </c>
      <c r="C490" s="73">
        <v>3</v>
      </c>
      <c r="D490" s="73">
        <v>1</v>
      </c>
      <c r="E490" s="72"/>
      <c r="F490" s="71" t="s">
        <v>159</v>
      </c>
      <c r="G490" s="70">
        <f>+G491</f>
        <v>0</v>
      </c>
      <c r="H490" s="70">
        <f t="shared" ref="H490:I490" si="302">+H491</f>
        <v>0</v>
      </c>
      <c r="I490" s="70">
        <f t="shared" si="302"/>
        <v>0</v>
      </c>
      <c r="J490" s="70">
        <f t="shared" si="273"/>
        <v>0</v>
      </c>
      <c r="K490" s="69"/>
    </row>
    <row r="491" spans="1:11" x14ac:dyDescent="0.2">
      <c r="A491" s="75">
        <v>2</v>
      </c>
      <c r="B491" s="67">
        <v>7</v>
      </c>
      <c r="C491" s="67">
        <v>3</v>
      </c>
      <c r="D491" s="67">
        <v>1</v>
      </c>
      <c r="E491" s="67" t="s">
        <v>155</v>
      </c>
      <c r="F491" s="66" t="s">
        <v>159</v>
      </c>
      <c r="G491" s="64"/>
      <c r="H491" s="64"/>
      <c r="I491" s="64"/>
      <c r="J491" s="64">
        <f t="shared" si="273"/>
        <v>0</v>
      </c>
      <c r="K491" s="63">
        <f t="shared" ref="K491" si="303">J491/$J$25</f>
        <v>0</v>
      </c>
    </row>
    <row r="492" spans="1:11" x14ac:dyDescent="0.2">
      <c r="A492" s="76">
        <v>2</v>
      </c>
      <c r="B492" s="73">
        <v>7</v>
      </c>
      <c r="C492" s="73">
        <v>3</v>
      </c>
      <c r="D492" s="73">
        <v>2</v>
      </c>
      <c r="E492" s="72"/>
      <c r="F492" s="71" t="s">
        <v>158</v>
      </c>
      <c r="G492" s="70">
        <f>+G493</f>
        <v>0</v>
      </c>
      <c r="H492" s="70">
        <f t="shared" ref="H492:I492" si="304">+H493</f>
        <v>0</v>
      </c>
      <c r="I492" s="70">
        <f t="shared" si="304"/>
        <v>0</v>
      </c>
      <c r="J492" s="70">
        <f t="shared" si="273"/>
        <v>0</v>
      </c>
      <c r="K492" s="69"/>
    </row>
    <row r="493" spans="1:11" x14ac:dyDescent="0.2">
      <c r="A493" s="75">
        <v>2</v>
      </c>
      <c r="B493" s="67">
        <v>7</v>
      </c>
      <c r="C493" s="67">
        <v>3</v>
      </c>
      <c r="D493" s="67">
        <v>2</v>
      </c>
      <c r="E493" s="67" t="s">
        <v>155</v>
      </c>
      <c r="F493" s="66" t="s">
        <v>158</v>
      </c>
      <c r="G493" s="64"/>
      <c r="H493" s="64"/>
      <c r="I493" s="64"/>
      <c r="J493" s="64">
        <f t="shared" si="273"/>
        <v>0</v>
      </c>
      <c r="K493" s="63">
        <f t="shared" ref="K493" si="305">J493/$J$25</f>
        <v>0</v>
      </c>
    </row>
    <row r="494" spans="1:11" ht="25.5" x14ac:dyDescent="0.2">
      <c r="A494" s="81">
        <v>2</v>
      </c>
      <c r="B494" s="80">
        <v>7</v>
      </c>
      <c r="C494" s="80">
        <v>4</v>
      </c>
      <c r="D494" s="80"/>
      <c r="E494" s="80"/>
      <c r="F494" s="79" t="s">
        <v>157</v>
      </c>
      <c r="G494" s="78">
        <f>+G495+G497</f>
        <v>0</v>
      </c>
      <c r="H494" s="78">
        <f t="shared" ref="H494:I494" si="306">+H495+H497</f>
        <v>0</v>
      </c>
      <c r="I494" s="78">
        <f t="shared" si="306"/>
        <v>0</v>
      </c>
      <c r="J494" s="78">
        <f t="shared" si="273"/>
        <v>0</v>
      </c>
      <c r="K494" s="77"/>
    </row>
    <row r="495" spans="1:11" x14ac:dyDescent="0.2">
      <c r="A495" s="76">
        <v>2</v>
      </c>
      <c r="B495" s="73">
        <v>7</v>
      </c>
      <c r="C495" s="73">
        <v>4</v>
      </c>
      <c r="D495" s="73">
        <v>1</v>
      </c>
      <c r="E495" s="72"/>
      <c r="F495" s="71" t="s">
        <v>156</v>
      </c>
      <c r="G495" s="70">
        <f>+G496</f>
        <v>0</v>
      </c>
      <c r="H495" s="70">
        <f t="shared" ref="H495:I495" si="307">+H496</f>
        <v>0</v>
      </c>
      <c r="I495" s="70">
        <f t="shared" si="307"/>
        <v>0</v>
      </c>
      <c r="J495" s="70">
        <f t="shared" si="273"/>
        <v>0</v>
      </c>
      <c r="K495" s="69"/>
    </row>
    <row r="496" spans="1:11" x14ac:dyDescent="0.2">
      <c r="A496" s="75">
        <v>2</v>
      </c>
      <c r="B496" s="67">
        <v>7</v>
      </c>
      <c r="C496" s="67">
        <v>4</v>
      </c>
      <c r="D496" s="67">
        <v>1</v>
      </c>
      <c r="E496" s="67" t="s">
        <v>155</v>
      </c>
      <c r="F496" s="66" t="s">
        <v>156</v>
      </c>
      <c r="G496" s="64"/>
      <c r="H496" s="64"/>
      <c r="I496" s="64"/>
      <c r="J496" s="64">
        <f t="shared" si="273"/>
        <v>0</v>
      </c>
      <c r="K496" s="63">
        <f t="shared" ref="K496" si="308">J496/$J$25</f>
        <v>0</v>
      </c>
    </row>
    <row r="497" spans="1:11" ht="25.5" x14ac:dyDescent="0.2">
      <c r="A497" s="74">
        <v>2</v>
      </c>
      <c r="B497" s="73">
        <v>7</v>
      </c>
      <c r="C497" s="73">
        <v>4</v>
      </c>
      <c r="D497" s="73">
        <v>2</v>
      </c>
      <c r="E497" s="72"/>
      <c r="F497" s="71" t="s">
        <v>154</v>
      </c>
      <c r="G497" s="70">
        <f>+G498</f>
        <v>0</v>
      </c>
      <c r="H497" s="70">
        <f t="shared" ref="H497:I497" si="309">+H498</f>
        <v>0</v>
      </c>
      <c r="I497" s="70">
        <f t="shared" si="309"/>
        <v>0</v>
      </c>
      <c r="J497" s="70">
        <f t="shared" si="273"/>
        <v>0</v>
      </c>
      <c r="K497" s="69"/>
    </row>
    <row r="498" spans="1:11" ht="25.5" x14ac:dyDescent="0.2">
      <c r="A498" s="68">
        <v>2</v>
      </c>
      <c r="B498" s="67">
        <v>7</v>
      </c>
      <c r="C498" s="67">
        <v>4</v>
      </c>
      <c r="D498" s="67">
        <v>2</v>
      </c>
      <c r="E498" s="67" t="s">
        <v>155</v>
      </c>
      <c r="F498" s="66" t="s">
        <v>154</v>
      </c>
      <c r="G498" s="65"/>
      <c r="H498" s="65"/>
      <c r="I498" s="65"/>
      <c r="J498" s="64">
        <f t="shared" si="273"/>
        <v>0</v>
      </c>
      <c r="K498" s="63">
        <f t="shared" ref="K498" si="310">J498/$J$25</f>
        <v>0</v>
      </c>
    </row>
    <row r="499" spans="1:11" ht="15" x14ac:dyDescent="0.25">
      <c r="A499" s="61"/>
      <c r="B499" s="61"/>
      <c r="C499" s="61"/>
      <c r="D499" s="61"/>
      <c r="E499" s="61"/>
      <c r="F499" s="61"/>
      <c r="G499" s="61"/>
      <c r="H499" s="61"/>
      <c r="I499" s="61"/>
      <c r="J499" s="61"/>
      <c r="K499" s="62"/>
    </row>
    <row r="500" spans="1:11" ht="15" x14ac:dyDescent="0.25">
      <c r="A500" s="61"/>
      <c r="B500" s="61"/>
      <c r="C500" s="61"/>
      <c r="D500" s="61"/>
      <c r="E500" s="61"/>
      <c r="F500" s="61"/>
      <c r="G500" s="61"/>
      <c r="H500" s="61"/>
      <c r="I500" s="61"/>
      <c r="J500" s="61"/>
      <c r="K500" s="61"/>
    </row>
    <row r="501" spans="1:11" ht="15" x14ac:dyDescent="0.25">
      <c r="A501" s="61"/>
      <c r="B501" s="61"/>
      <c r="C501" s="61"/>
      <c r="D501" s="61"/>
      <c r="E501" s="61"/>
      <c r="F501" s="198" t="s">
        <v>567</v>
      </c>
      <c r="G501" s="61"/>
      <c r="H501" s="199" t="s">
        <v>568</v>
      </c>
      <c r="I501" s="199"/>
      <c r="J501" s="61"/>
      <c r="K501" s="61"/>
    </row>
    <row r="502" spans="1:11" ht="15" x14ac:dyDescent="0.25">
      <c r="A502" s="61"/>
      <c r="B502" s="61"/>
      <c r="C502" s="61"/>
      <c r="D502" s="61"/>
      <c r="E502" s="61"/>
      <c r="F502" s="200" t="s">
        <v>569</v>
      </c>
      <c r="G502" s="61"/>
      <c r="H502" s="200" t="s">
        <v>570</v>
      </c>
      <c r="I502" s="61"/>
      <c r="J502" s="61"/>
      <c r="K502" s="61"/>
    </row>
    <row r="503" spans="1:11" ht="15" x14ac:dyDescent="0.25">
      <c r="A503" s="61"/>
      <c r="B503" s="61"/>
      <c r="C503" s="61"/>
      <c r="D503" s="61"/>
      <c r="E503" s="61"/>
      <c r="F503" s="61"/>
      <c r="G503" s="61"/>
      <c r="H503" s="61"/>
      <c r="I503" s="61"/>
      <c r="J503" s="61"/>
      <c r="K503" s="61"/>
    </row>
    <row r="504" spans="1:11" ht="15" x14ac:dyDescent="0.25">
      <c r="A504" s="61"/>
      <c r="B504" s="61"/>
      <c r="C504" s="61"/>
      <c r="D504" s="61"/>
      <c r="E504" s="61"/>
      <c r="F504" s="61"/>
      <c r="G504" s="61"/>
      <c r="H504" s="61"/>
      <c r="I504" s="61"/>
      <c r="J504" s="61"/>
      <c r="K504" s="61"/>
    </row>
    <row r="505" spans="1:11" ht="15" x14ac:dyDescent="0.25">
      <c r="A505" s="61"/>
      <c r="B505" s="61"/>
      <c r="C505" s="61"/>
      <c r="D505" s="61"/>
      <c r="E505" s="61"/>
      <c r="F505" s="61"/>
      <c r="G505" s="61"/>
      <c r="H505" s="61"/>
      <c r="I505" s="61"/>
      <c r="J505" s="61"/>
      <c r="K505" s="61"/>
    </row>
    <row r="506" spans="1:11" ht="15" x14ac:dyDescent="0.25">
      <c r="A506" s="61"/>
      <c r="B506" s="61"/>
      <c r="C506" s="61"/>
      <c r="D506" s="61"/>
      <c r="E506" s="61"/>
      <c r="F506" s="61"/>
      <c r="G506" s="61"/>
      <c r="H506" s="61"/>
      <c r="I506" s="61"/>
      <c r="J506" s="61"/>
      <c r="K506" s="61"/>
    </row>
    <row r="507" spans="1:11" ht="15" x14ac:dyDescent="0.25">
      <c r="A507" s="61"/>
      <c r="B507" s="61"/>
      <c r="C507" s="61"/>
      <c r="D507" s="61"/>
      <c r="E507" s="61"/>
      <c r="F507" s="61"/>
      <c r="G507" s="61"/>
      <c r="H507" s="61"/>
      <c r="I507" s="61"/>
      <c r="J507" s="61"/>
      <c r="K507" s="61"/>
    </row>
    <row r="508" spans="1:11" ht="15" x14ac:dyDescent="0.25">
      <c r="A508" s="61"/>
      <c r="B508" s="61"/>
      <c r="C508" s="61"/>
      <c r="D508" s="61"/>
      <c r="E508" s="61"/>
      <c r="F508" s="61"/>
      <c r="G508" s="61"/>
      <c r="H508" s="61"/>
      <c r="I508" s="61"/>
      <c r="J508" s="61"/>
      <c r="K508" s="61"/>
    </row>
  </sheetData>
  <protectedRanges>
    <protectedRange sqref="G45:I45 G47:I47 G49:I52 G55:I55 G57:I65 G36:I43 G29:I34" name="Rango1_1_1"/>
  </protectedRanges>
  <mergeCells count="21">
    <mergeCell ref="J22:J24"/>
    <mergeCell ref="K22:K24"/>
    <mergeCell ref="A7:K7"/>
    <mergeCell ref="A21:E21"/>
    <mergeCell ref="G21:I21"/>
    <mergeCell ref="A23:A24"/>
    <mergeCell ref="B23:B24"/>
    <mergeCell ref="C23:C24"/>
    <mergeCell ref="D23:D24"/>
    <mergeCell ref="E23:E24"/>
    <mergeCell ref="G23:G24"/>
    <mergeCell ref="H23:H24"/>
    <mergeCell ref="I23:I24"/>
    <mergeCell ref="A22:E22"/>
    <mergeCell ref="F22:F24"/>
    <mergeCell ref="G22:I22"/>
    <mergeCell ref="A2:I2"/>
    <mergeCell ref="A3:K3"/>
    <mergeCell ref="A4:K4"/>
    <mergeCell ref="A5:K5"/>
    <mergeCell ref="A6:K6"/>
  </mergeCells>
  <pageMargins left="0.7" right="0.7" top="0.75" bottom="0.75" header="0.3" footer="0.3"/>
  <pageSetup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16" workbookViewId="0">
      <selection activeCell="G8" sqref="G8"/>
    </sheetView>
  </sheetViews>
  <sheetFormatPr baseColWidth="10" defaultRowHeight="15" x14ac:dyDescent="0.25"/>
  <cols>
    <col min="1" max="1" width="27.42578125" customWidth="1"/>
    <col min="2" max="2" width="16.85546875" customWidth="1"/>
    <col min="3" max="3" width="17" customWidth="1"/>
    <col min="4" max="4" width="16.5703125" customWidth="1"/>
    <col min="5" max="5" width="22.5703125" customWidth="1"/>
    <col min="7" max="7" width="12.7109375" bestFit="1" customWidth="1"/>
  </cols>
  <sheetData>
    <row r="1" spans="1:5" ht="22.5" x14ac:dyDescent="0.3">
      <c r="A1" s="497" t="s">
        <v>632</v>
      </c>
      <c r="B1" s="497"/>
      <c r="C1" s="497"/>
      <c r="D1" s="497"/>
      <c r="E1" s="497"/>
    </row>
    <row r="2" spans="1:5" ht="18.75" x14ac:dyDescent="0.3">
      <c r="A2" s="494" t="s">
        <v>532</v>
      </c>
      <c r="B2" s="494"/>
      <c r="C2" s="494"/>
      <c r="D2" s="494"/>
      <c r="E2" s="494"/>
    </row>
    <row r="3" spans="1:5" ht="22.5" customHeight="1" x14ac:dyDescent="0.3">
      <c r="A3" s="495" t="s">
        <v>142</v>
      </c>
      <c r="B3" s="495"/>
      <c r="C3" s="495"/>
      <c r="D3" s="495"/>
      <c r="E3" s="495"/>
    </row>
    <row r="4" spans="1:5" ht="22.5" x14ac:dyDescent="0.3">
      <c r="A4" s="496" t="s">
        <v>773</v>
      </c>
      <c r="B4" s="496"/>
      <c r="C4" s="496"/>
      <c r="D4" s="496"/>
      <c r="E4" s="496"/>
    </row>
    <row r="5" spans="1:5" ht="18.75" x14ac:dyDescent="0.25">
      <c r="A5" s="139" t="s">
        <v>531</v>
      </c>
      <c r="B5" s="139" t="s">
        <v>530</v>
      </c>
      <c r="C5" s="139" t="s">
        <v>529</v>
      </c>
      <c r="D5" s="139" t="s">
        <v>528</v>
      </c>
      <c r="E5" s="139" t="s">
        <v>509</v>
      </c>
    </row>
    <row r="6" spans="1:5" s="1" customFormat="1" ht="15.75" x14ac:dyDescent="0.25">
      <c r="A6" s="235" t="s">
        <v>595</v>
      </c>
      <c r="B6" s="243">
        <v>15077035.85</v>
      </c>
      <c r="C6" s="216">
        <f>B6+D6</f>
        <v>15137996.33</v>
      </c>
      <c r="D6" s="232">
        <v>60960.480000000003</v>
      </c>
      <c r="E6" s="217">
        <f>+D6/B6*100</f>
        <v>0.40432668998395999</v>
      </c>
    </row>
    <row r="7" spans="1:5" s="1" customFormat="1" ht="31.5" x14ac:dyDescent="0.25">
      <c r="A7" s="235" t="s">
        <v>596</v>
      </c>
      <c r="B7" s="243">
        <v>3696345.67</v>
      </c>
      <c r="C7" s="216">
        <f t="shared" ref="C7:C8" si="0">B7+D7</f>
        <v>3747756.53</v>
      </c>
      <c r="D7" s="232">
        <v>51410.86</v>
      </c>
      <c r="E7" s="217">
        <f t="shared" ref="E7" si="1">+D7/B7*100</f>
        <v>1.3908563914153624</v>
      </c>
    </row>
    <row r="8" spans="1:5" s="1" customFormat="1" ht="15.75" x14ac:dyDescent="0.25">
      <c r="A8" s="235" t="s">
        <v>597</v>
      </c>
      <c r="B8" s="243">
        <v>563485.61</v>
      </c>
      <c r="C8" s="216">
        <f t="shared" si="0"/>
        <v>565330.29</v>
      </c>
      <c r="D8" s="232">
        <v>1844.68</v>
      </c>
      <c r="E8" s="217">
        <f>+D8/B8*100</f>
        <v>0.32736949573565866</v>
      </c>
    </row>
    <row r="9" spans="1:5" ht="16.5" thickBot="1" x14ac:dyDescent="0.3">
      <c r="A9" s="240" t="s">
        <v>571</v>
      </c>
      <c r="B9" s="244">
        <v>4025447.98</v>
      </c>
      <c r="C9" s="216">
        <f>B9+D9</f>
        <v>4025447.98</v>
      </c>
      <c r="D9" s="232"/>
      <c r="E9" s="217"/>
    </row>
    <row r="10" spans="1:5" s="1" customFormat="1" ht="16.5" thickBot="1" x14ac:dyDescent="0.3">
      <c r="A10" s="240" t="s">
        <v>573</v>
      </c>
      <c r="B10" s="244">
        <v>12663.56</v>
      </c>
      <c r="C10" s="216">
        <f t="shared" ref="C10:C29" si="2">B10+D10</f>
        <v>12663.56</v>
      </c>
      <c r="D10" s="232"/>
      <c r="E10" s="217"/>
    </row>
    <row r="11" spans="1:5" s="1" customFormat="1" ht="16.5" thickBot="1" x14ac:dyDescent="0.3">
      <c r="A11" s="240" t="s">
        <v>574</v>
      </c>
      <c r="B11" s="244">
        <v>1168959.8700000001</v>
      </c>
      <c r="C11" s="216">
        <f t="shared" si="2"/>
        <v>1168959.8700000001</v>
      </c>
      <c r="D11" s="232"/>
      <c r="E11" s="217"/>
    </row>
    <row r="12" spans="1:5" ht="16.5" thickBot="1" x14ac:dyDescent="0.3">
      <c r="A12" s="240" t="s">
        <v>575</v>
      </c>
      <c r="B12" s="244">
        <v>5392512.1699999999</v>
      </c>
      <c r="C12" s="216">
        <f t="shared" si="2"/>
        <v>5392512.1699999999</v>
      </c>
      <c r="D12" s="232"/>
      <c r="E12" s="217"/>
    </row>
    <row r="13" spans="1:5" ht="16.5" thickBot="1" x14ac:dyDescent="0.3">
      <c r="A13" s="240" t="s">
        <v>576</v>
      </c>
      <c r="B13" s="244">
        <v>96923.25</v>
      </c>
      <c r="C13" s="216">
        <f t="shared" si="2"/>
        <v>96923.25</v>
      </c>
      <c r="D13" s="232"/>
      <c r="E13" s="217"/>
    </row>
    <row r="14" spans="1:5" ht="16.5" thickBot="1" x14ac:dyDescent="0.3">
      <c r="A14" s="240" t="s">
        <v>577</v>
      </c>
      <c r="B14" s="244">
        <v>2000</v>
      </c>
      <c r="C14" s="216">
        <f t="shared" si="2"/>
        <v>2000</v>
      </c>
      <c r="D14" s="232"/>
      <c r="E14" s="217"/>
    </row>
    <row r="15" spans="1:5" ht="16.5" thickBot="1" x14ac:dyDescent="0.3">
      <c r="A15" s="240" t="s">
        <v>578</v>
      </c>
      <c r="B15" s="244">
        <v>1094457.6399999999</v>
      </c>
      <c r="C15" s="216">
        <f t="shared" si="2"/>
        <v>1172896.94</v>
      </c>
      <c r="D15" s="232">
        <v>78439.3</v>
      </c>
      <c r="E15" s="217">
        <f t="shared" ref="E15:E28" si="3">+D15/B15*100</f>
        <v>7.1669562286576944</v>
      </c>
    </row>
    <row r="16" spans="1:5" s="1" customFormat="1" ht="16.5" thickBot="1" x14ac:dyDescent="0.3">
      <c r="A16" s="240" t="s">
        <v>579</v>
      </c>
      <c r="B16" s="244">
        <v>4600</v>
      </c>
      <c r="C16" s="216">
        <f t="shared" si="2"/>
        <v>4600</v>
      </c>
      <c r="D16" s="232"/>
      <c r="E16" s="217"/>
    </row>
    <row r="17" spans="1:7" ht="16.5" thickBot="1" x14ac:dyDescent="0.3">
      <c r="A17" s="240" t="s">
        <v>580</v>
      </c>
      <c r="B17" s="244">
        <v>374565.68</v>
      </c>
      <c r="C17" s="216">
        <f t="shared" si="2"/>
        <v>374565.68</v>
      </c>
      <c r="D17" s="232"/>
      <c r="E17" s="217"/>
    </row>
    <row r="18" spans="1:7" ht="16.5" thickBot="1" x14ac:dyDescent="0.3">
      <c r="A18" s="240" t="s">
        <v>581</v>
      </c>
      <c r="B18" s="244">
        <v>528159.12</v>
      </c>
      <c r="C18" s="216">
        <f t="shared" si="2"/>
        <v>528159.12</v>
      </c>
      <c r="D18" s="232"/>
      <c r="E18" s="217"/>
    </row>
    <row r="19" spans="1:7" ht="16.5" thickBot="1" x14ac:dyDescent="0.3">
      <c r="A19" s="240" t="s">
        <v>582</v>
      </c>
      <c r="B19" s="244">
        <v>3840</v>
      </c>
      <c r="C19" s="216">
        <f t="shared" si="2"/>
        <v>3840</v>
      </c>
      <c r="D19" s="232"/>
      <c r="E19" s="217"/>
    </row>
    <row r="20" spans="1:7" ht="16.5" thickBot="1" x14ac:dyDescent="0.3">
      <c r="A20" s="240" t="s">
        <v>583</v>
      </c>
      <c r="B20" s="244">
        <v>8442.32</v>
      </c>
      <c r="C20" s="216">
        <f t="shared" si="2"/>
        <v>8442.32</v>
      </c>
      <c r="D20" s="232"/>
      <c r="E20" s="217"/>
    </row>
    <row r="21" spans="1:7" ht="16.5" thickBot="1" x14ac:dyDescent="0.3">
      <c r="A21" s="240" t="s">
        <v>584</v>
      </c>
      <c r="B21" s="245">
        <v>8259</v>
      </c>
      <c r="C21" s="216">
        <f t="shared" si="2"/>
        <v>8259</v>
      </c>
      <c r="D21" s="232"/>
      <c r="E21" s="217"/>
    </row>
    <row r="22" spans="1:7" ht="16.5" thickBot="1" x14ac:dyDescent="0.3">
      <c r="A22" s="240" t="s">
        <v>585</v>
      </c>
      <c r="B22" s="244">
        <v>102596.55</v>
      </c>
      <c r="C22" s="216">
        <f t="shared" si="2"/>
        <v>102596.55</v>
      </c>
      <c r="D22" s="232"/>
      <c r="E22" s="217"/>
    </row>
    <row r="23" spans="1:7" s="1" customFormat="1" ht="16.5" thickBot="1" x14ac:dyDescent="0.3">
      <c r="A23" s="240" t="s">
        <v>586</v>
      </c>
      <c r="B23" s="244">
        <v>3538622.15</v>
      </c>
      <c r="C23" s="216">
        <f t="shared" si="2"/>
        <v>3718050.31</v>
      </c>
      <c r="D23" s="232">
        <v>179428.16</v>
      </c>
      <c r="E23" s="217">
        <f t="shared" si="3"/>
        <v>5.070565672008807</v>
      </c>
    </row>
    <row r="24" spans="1:7" s="1" customFormat="1" ht="15.75" x14ac:dyDescent="0.25">
      <c r="A24" s="241" t="s">
        <v>587</v>
      </c>
      <c r="B24" s="246">
        <v>2870</v>
      </c>
      <c r="C24" s="216">
        <f t="shared" si="2"/>
        <v>2870</v>
      </c>
      <c r="D24" s="242"/>
      <c r="E24" s="217"/>
    </row>
    <row r="25" spans="1:7" ht="15.75" x14ac:dyDescent="0.25">
      <c r="A25" s="247" t="s">
        <v>592</v>
      </c>
      <c r="B25" s="246">
        <v>37700</v>
      </c>
      <c r="C25" s="216">
        <f t="shared" si="2"/>
        <v>37700</v>
      </c>
      <c r="D25" s="242"/>
      <c r="E25" s="217"/>
    </row>
    <row r="26" spans="1:7" s="1" customFormat="1" ht="15.75" x14ac:dyDescent="0.25">
      <c r="A26" s="248" t="s">
        <v>774</v>
      </c>
      <c r="B26" s="245">
        <v>435770.75</v>
      </c>
      <c r="C26" s="216">
        <f t="shared" si="2"/>
        <v>484347.25</v>
      </c>
      <c r="D26" s="351">
        <v>48576.5</v>
      </c>
      <c r="E26" s="217">
        <f t="shared" si="3"/>
        <v>11.147260342737551</v>
      </c>
    </row>
    <row r="27" spans="1:7" s="1" customFormat="1" ht="15.75" x14ac:dyDescent="0.25">
      <c r="A27" s="248" t="s">
        <v>657</v>
      </c>
      <c r="B27" s="245">
        <v>1974089.78</v>
      </c>
      <c r="C27" s="216">
        <f t="shared" si="2"/>
        <v>1977762.57</v>
      </c>
      <c r="D27" s="249">
        <v>3672.79</v>
      </c>
      <c r="E27" s="217">
        <f t="shared" si="3"/>
        <v>0.18604979556704862</v>
      </c>
    </row>
    <row r="28" spans="1:7" ht="15.75" x14ac:dyDescent="0.25">
      <c r="A28" s="248" t="s">
        <v>775</v>
      </c>
      <c r="B28" s="245">
        <v>2226783.9300000002</v>
      </c>
      <c r="C28" s="216">
        <f t="shared" si="2"/>
        <v>2448567.02</v>
      </c>
      <c r="D28" s="249">
        <v>221783.09</v>
      </c>
      <c r="E28" s="217">
        <f t="shared" si="3"/>
        <v>9.9597938988180132</v>
      </c>
    </row>
    <row r="29" spans="1:7" ht="15.75" x14ac:dyDescent="0.25">
      <c r="A29" s="248" t="s">
        <v>776</v>
      </c>
      <c r="B29" s="245">
        <v>604631.51</v>
      </c>
      <c r="C29" s="216">
        <f t="shared" si="2"/>
        <v>604631.51</v>
      </c>
      <c r="D29" s="249"/>
      <c r="E29" s="217"/>
    </row>
    <row r="30" spans="1:7" ht="15.75" x14ac:dyDescent="0.25">
      <c r="A30" s="352"/>
      <c r="B30" s="236">
        <f>SUM(B6:B29)</f>
        <v>40980762.390000001</v>
      </c>
      <c r="C30" s="353">
        <f>SUM(C6:C29)</f>
        <v>41626878.25</v>
      </c>
      <c r="D30" s="250">
        <f>SUM(D6:D29)</f>
        <v>646115.86</v>
      </c>
      <c r="E30" s="237">
        <f>+D30/B30*100</f>
        <v>1.5766321130171634</v>
      </c>
      <c r="G30" s="354"/>
    </row>
    <row r="31" spans="1:7" ht="15.75" x14ac:dyDescent="0.25">
      <c r="A31" s="203" t="s">
        <v>526</v>
      </c>
    </row>
    <row r="32" spans="1:7" ht="15.75" x14ac:dyDescent="0.25">
      <c r="A32" s="138" t="s">
        <v>525</v>
      </c>
      <c r="B32" s="238"/>
    </row>
    <row r="33" spans="2:2" ht="15.75" x14ac:dyDescent="0.25">
      <c r="B33" s="221"/>
    </row>
  </sheetData>
  <mergeCells count="4">
    <mergeCell ref="A2:E2"/>
    <mergeCell ref="A3:E3"/>
    <mergeCell ref="A4:E4"/>
    <mergeCell ref="A1:E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7"/>
  <sheetViews>
    <sheetView workbookViewId="0">
      <selection activeCell="J37" sqref="J37"/>
    </sheetView>
  </sheetViews>
  <sheetFormatPr baseColWidth="10" defaultRowHeight="15" x14ac:dyDescent="0.25"/>
  <cols>
    <col min="2" max="2" width="42.85546875" customWidth="1"/>
    <col min="3" max="3" width="21" hidden="1" customWidth="1"/>
    <col min="4" max="4" width="19.28515625" customWidth="1"/>
    <col min="5" max="5" width="12.140625" customWidth="1"/>
    <col min="6" max="6" width="45.5703125" customWidth="1"/>
    <col min="7" max="7" width="11.28515625" customWidth="1"/>
    <col min="8" max="8" width="13.28515625" bestFit="1" customWidth="1"/>
    <col min="9" max="9" width="24.140625" customWidth="1"/>
    <col min="10" max="10" width="39" customWidth="1"/>
    <col min="11" max="26" width="0" hidden="1" customWidth="1"/>
  </cols>
  <sheetData>
    <row r="1" spans="1:26" x14ac:dyDescent="0.25">
      <c r="A1" s="255"/>
      <c r="J1" s="140"/>
      <c r="M1" s="140"/>
    </row>
    <row r="2" spans="1:26" ht="28.5" x14ac:dyDescent="0.45">
      <c r="A2" s="498" t="s">
        <v>562</v>
      </c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142"/>
      <c r="M2" s="140"/>
    </row>
    <row r="3" spans="1:26" ht="23.25" x14ac:dyDescent="0.35">
      <c r="A3" s="499" t="s">
        <v>561</v>
      </c>
      <c r="B3" s="499"/>
      <c r="C3" s="499"/>
      <c r="D3" s="499"/>
      <c r="E3" s="499"/>
      <c r="F3" s="499"/>
      <c r="G3" s="499"/>
      <c r="H3" s="499"/>
      <c r="I3" s="499"/>
      <c r="J3" s="499"/>
      <c r="K3" s="499"/>
      <c r="L3" s="142"/>
      <c r="M3" s="140"/>
    </row>
    <row r="4" spans="1:26" ht="18.75" x14ac:dyDescent="0.3">
      <c r="A4" s="500" t="s">
        <v>560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142"/>
      <c r="M4" s="140"/>
    </row>
    <row r="5" spans="1:26" x14ac:dyDescent="0.25">
      <c r="A5" s="255"/>
      <c r="E5" s="502" t="s">
        <v>533</v>
      </c>
      <c r="F5" s="461"/>
      <c r="J5" s="140"/>
      <c r="M5" s="140"/>
    </row>
    <row r="6" spans="1:26" ht="23.25" x14ac:dyDescent="0.35">
      <c r="A6" s="501" t="s">
        <v>559</v>
      </c>
      <c r="B6" s="501"/>
      <c r="C6" s="187"/>
      <c r="D6" s="187"/>
      <c r="E6" s="187"/>
      <c r="F6" s="187"/>
      <c r="G6" s="187"/>
      <c r="H6" s="187" t="s">
        <v>588</v>
      </c>
      <c r="I6" s="187" t="s">
        <v>588</v>
      </c>
      <c r="J6" s="186"/>
      <c r="K6" s="185"/>
      <c r="L6" s="184"/>
      <c r="M6" s="183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1"/>
    </row>
    <row r="7" spans="1:26" ht="15.75" thickBot="1" x14ac:dyDescent="0.3">
      <c r="A7" s="180"/>
      <c r="B7" s="60"/>
      <c r="C7" s="60"/>
      <c r="D7" s="60"/>
      <c r="E7" s="60"/>
      <c r="F7" s="60"/>
      <c r="G7" s="60"/>
      <c r="H7" s="60"/>
      <c r="I7" s="60"/>
      <c r="J7" s="179"/>
      <c r="K7" s="60"/>
      <c r="L7" s="60"/>
      <c r="M7" s="140"/>
    </row>
    <row r="8" spans="1:26" ht="18.75" x14ac:dyDescent="0.25">
      <c r="A8" s="506" t="s">
        <v>139</v>
      </c>
      <c r="B8" s="507"/>
      <c r="C8" s="508" t="s">
        <v>558</v>
      </c>
      <c r="D8" s="509"/>
      <c r="E8" s="503" t="s">
        <v>557</v>
      </c>
      <c r="F8" s="503"/>
      <c r="G8" s="503" t="s">
        <v>598</v>
      </c>
      <c r="H8" s="503"/>
      <c r="I8" s="503" t="s">
        <v>803</v>
      </c>
      <c r="J8" s="503"/>
      <c r="K8" s="503" t="s">
        <v>556</v>
      </c>
      <c r="L8" s="503"/>
      <c r="M8" s="503" t="s">
        <v>555</v>
      </c>
      <c r="N8" s="503"/>
      <c r="O8" s="503" t="s">
        <v>554</v>
      </c>
      <c r="P8" s="503"/>
      <c r="Q8" s="503" t="s">
        <v>553</v>
      </c>
      <c r="R8" s="503"/>
      <c r="S8" s="503" t="s">
        <v>552</v>
      </c>
      <c r="T8" s="503"/>
      <c r="U8" s="503" t="s">
        <v>551</v>
      </c>
      <c r="V8" s="503"/>
      <c r="W8" s="503" t="s">
        <v>550</v>
      </c>
      <c r="X8" s="503"/>
      <c r="Y8" s="503" t="s">
        <v>549</v>
      </c>
      <c r="Z8" s="503"/>
    </row>
    <row r="9" spans="1:26" ht="18.75" x14ac:dyDescent="0.25">
      <c r="A9" s="178"/>
      <c r="B9" s="178"/>
      <c r="C9" s="265" t="s">
        <v>548</v>
      </c>
      <c r="D9" s="265" t="s">
        <v>529</v>
      </c>
      <c r="E9" s="265" t="s">
        <v>548</v>
      </c>
      <c r="F9" s="265" t="s">
        <v>529</v>
      </c>
      <c r="G9" s="265" t="s">
        <v>548</v>
      </c>
      <c r="H9" s="265" t="s">
        <v>529</v>
      </c>
      <c r="I9" s="265" t="s">
        <v>548</v>
      </c>
      <c r="J9" s="161" t="s">
        <v>529</v>
      </c>
      <c r="K9" s="265" t="s">
        <v>548</v>
      </c>
      <c r="L9" s="265" t="s">
        <v>529</v>
      </c>
      <c r="M9" s="161" t="s">
        <v>548</v>
      </c>
      <c r="N9" s="265" t="s">
        <v>529</v>
      </c>
      <c r="O9" s="265" t="s">
        <v>548</v>
      </c>
      <c r="P9" s="265" t="s">
        <v>529</v>
      </c>
      <c r="Q9" s="265" t="s">
        <v>548</v>
      </c>
      <c r="R9" s="265" t="s">
        <v>529</v>
      </c>
      <c r="S9" s="265" t="s">
        <v>548</v>
      </c>
      <c r="T9" s="265" t="s">
        <v>529</v>
      </c>
      <c r="U9" s="265" t="s">
        <v>548</v>
      </c>
      <c r="V9" s="265" t="s">
        <v>529</v>
      </c>
      <c r="W9" s="265" t="s">
        <v>548</v>
      </c>
      <c r="X9" s="265" t="s">
        <v>529</v>
      </c>
      <c r="Y9" s="265" t="s">
        <v>548</v>
      </c>
      <c r="Z9" s="265" t="s">
        <v>529</v>
      </c>
    </row>
    <row r="10" spans="1:26" ht="18.75" x14ac:dyDescent="0.3">
      <c r="A10" s="170">
        <v>1</v>
      </c>
      <c r="B10" s="169" t="s">
        <v>547</v>
      </c>
      <c r="C10" s="168"/>
      <c r="D10" s="168"/>
      <c r="E10" s="167"/>
      <c r="F10" s="167"/>
      <c r="G10" s="167"/>
      <c r="H10" s="167"/>
      <c r="I10" s="166">
        <v>15077035.85</v>
      </c>
      <c r="J10" s="167">
        <v>31727813.620000001</v>
      </c>
      <c r="K10" s="166"/>
      <c r="L10" s="167"/>
      <c r="M10" s="167"/>
      <c r="N10" s="167"/>
      <c r="O10" s="172"/>
      <c r="P10" s="172"/>
      <c r="Q10" s="172"/>
      <c r="R10" s="172"/>
      <c r="S10" s="172"/>
      <c r="T10" s="172"/>
      <c r="U10" s="166"/>
      <c r="V10" s="166"/>
      <c r="W10" s="166"/>
      <c r="X10" s="166"/>
      <c r="Y10" s="166"/>
      <c r="Z10" s="177"/>
    </row>
    <row r="11" spans="1:26" ht="18.75" x14ac:dyDescent="0.3">
      <c r="A11" s="170">
        <v>2</v>
      </c>
      <c r="B11" s="169" t="s">
        <v>546</v>
      </c>
      <c r="C11" s="168"/>
      <c r="D11" s="168"/>
      <c r="E11" s="167"/>
      <c r="F11" s="167"/>
      <c r="G11" s="167"/>
      <c r="H11" s="167"/>
      <c r="I11" s="166">
        <v>3696345.67</v>
      </c>
      <c r="J11" s="167">
        <v>6685741.71</v>
      </c>
      <c r="K11" s="166"/>
      <c r="L11" s="167"/>
      <c r="M11" s="167"/>
      <c r="N11" s="167"/>
      <c r="O11" s="172"/>
      <c r="P11" s="172"/>
      <c r="Q11" s="172"/>
      <c r="R11" s="172"/>
      <c r="S11" s="172"/>
      <c r="T11" s="172"/>
      <c r="U11" s="166"/>
      <c r="V11" s="166"/>
      <c r="W11" s="166"/>
      <c r="X11" s="166"/>
      <c r="Y11" s="166"/>
      <c r="Z11" s="177"/>
    </row>
    <row r="12" spans="1:26" ht="18.75" x14ac:dyDescent="0.3">
      <c r="A12" s="170">
        <v>3</v>
      </c>
      <c r="B12" s="169" t="s">
        <v>545</v>
      </c>
      <c r="C12" s="168">
        <v>0</v>
      </c>
      <c r="D12" s="168">
        <v>0</v>
      </c>
      <c r="E12" s="167"/>
      <c r="F12" s="167"/>
      <c r="G12" s="167">
        <v>0</v>
      </c>
      <c r="H12" s="167"/>
      <c r="I12" s="166">
        <v>563485.61</v>
      </c>
      <c r="J12" s="167">
        <v>1886340.39</v>
      </c>
      <c r="K12" s="166"/>
      <c r="L12" s="167"/>
      <c r="M12" s="167"/>
      <c r="N12" s="167"/>
      <c r="O12" s="172"/>
      <c r="P12" s="172"/>
      <c r="Q12" s="172"/>
      <c r="R12" s="172"/>
      <c r="S12" s="172"/>
      <c r="T12" s="172"/>
      <c r="U12" s="166"/>
      <c r="V12" s="166"/>
      <c r="W12" s="166"/>
      <c r="X12" s="166"/>
      <c r="Y12" s="166"/>
      <c r="Z12" s="166"/>
    </row>
    <row r="13" spans="1:26" ht="18.75" x14ac:dyDescent="0.3">
      <c r="A13" s="510" t="s">
        <v>544</v>
      </c>
      <c r="B13" s="510"/>
      <c r="C13" s="165">
        <f t="shared" ref="C13:Z13" si="0">SUM(C10:C12)</f>
        <v>0</v>
      </c>
      <c r="D13" s="165">
        <f t="shared" si="0"/>
        <v>0</v>
      </c>
      <c r="E13" s="163">
        <f t="shared" si="0"/>
        <v>0</v>
      </c>
      <c r="F13" s="163">
        <f t="shared" si="0"/>
        <v>0</v>
      </c>
      <c r="G13" s="163">
        <f t="shared" si="0"/>
        <v>0</v>
      </c>
      <c r="H13" s="163">
        <f t="shared" si="0"/>
        <v>0</v>
      </c>
      <c r="I13" s="219">
        <f>SUM(I10:I12)</f>
        <v>19336867.129999999</v>
      </c>
      <c r="J13" s="164">
        <f>SUM(J10:J12)</f>
        <v>40299895.719999999</v>
      </c>
      <c r="K13" s="162">
        <f t="shared" si="0"/>
        <v>0</v>
      </c>
      <c r="L13" s="163">
        <f t="shared" si="0"/>
        <v>0</v>
      </c>
      <c r="M13" s="164">
        <f t="shared" si="0"/>
        <v>0</v>
      </c>
      <c r="N13" s="163">
        <f t="shared" si="0"/>
        <v>0</v>
      </c>
      <c r="O13" s="162">
        <f t="shared" si="0"/>
        <v>0</v>
      </c>
      <c r="P13" s="162">
        <f t="shared" si="0"/>
        <v>0</v>
      </c>
      <c r="Q13" s="162">
        <f t="shared" si="0"/>
        <v>0</v>
      </c>
      <c r="R13" s="162">
        <f t="shared" si="0"/>
        <v>0</v>
      </c>
      <c r="S13" s="162">
        <f t="shared" si="0"/>
        <v>0</v>
      </c>
      <c r="T13" s="162">
        <f t="shared" si="0"/>
        <v>0</v>
      </c>
      <c r="U13" s="162">
        <f t="shared" si="0"/>
        <v>0</v>
      </c>
      <c r="V13" s="162">
        <f t="shared" si="0"/>
        <v>0</v>
      </c>
      <c r="W13" s="162">
        <f t="shared" si="0"/>
        <v>0</v>
      </c>
      <c r="X13" s="162">
        <f t="shared" si="0"/>
        <v>0</v>
      </c>
      <c r="Y13" s="162">
        <f t="shared" si="0"/>
        <v>0</v>
      </c>
      <c r="Z13" s="162">
        <f t="shared" si="0"/>
        <v>0</v>
      </c>
    </row>
    <row r="14" spans="1:26" ht="18.75" x14ac:dyDescent="0.3">
      <c r="A14" s="170">
        <v>4</v>
      </c>
      <c r="B14" s="169" t="s">
        <v>589</v>
      </c>
      <c r="C14" s="168"/>
      <c r="D14" s="176"/>
      <c r="E14" s="167"/>
      <c r="F14" s="167"/>
      <c r="G14" s="167"/>
      <c r="H14" s="167"/>
      <c r="I14" s="166">
        <v>1974089.78</v>
      </c>
      <c r="J14" s="355">
        <v>4323113.58</v>
      </c>
      <c r="K14" s="166"/>
      <c r="L14" s="167"/>
      <c r="M14" s="167"/>
      <c r="N14" s="175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</row>
    <row r="15" spans="1:26" ht="18.75" x14ac:dyDescent="0.3">
      <c r="A15" s="170">
        <v>5</v>
      </c>
      <c r="B15" s="169" t="s">
        <v>543</v>
      </c>
      <c r="C15" s="168"/>
      <c r="D15" s="168"/>
      <c r="E15" s="167"/>
      <c r="F15" s="167"/>
      <c r="G15" s="167"/>
      <c r="H15" s="167"/>
      <c r="I15" s="166">
        <v>96963.25</v>
      </c>
      <c r="J15" s="204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</row>
    <row r="16" spans="1:26" ht="18.75" x14ac:dyDescent="0.3">
      <c r="A16" s="170">
        <v>6</v>
      </c>
      <c r="B16" s="169" t="s">
        <v>130</v>
      </c>
      <c r="C16" s="168"/>
      <c r="D16" s="168"/>
      <c r="E16" s="167"/>
      <c r="F16" s="167"/>
      <c r="G16" s="167"/>
      <c r="H16" s="167"/>
      <c r="I16" s="166">
        <v>37700</v>
      </c>
      <c r="J16" s="204">
        <v>204554.09</v>
      </c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6"/>
      <c r="V16" s="166"/>
      <c r="W16" s="166"/>
      <c r="X16" s="166"/>
      <c r="Y16" s="166"/>
      <c r="Z16" s="166"/>
    </row>
    <row r="17" spans="1:31" ht="18.75" x14ac:dyDescent="0.3">
      <c r="A17" s="170">
        <v>7</v>
      </c>
      <c r="B17" s="169" t="s">
        <v>129</v>
      </c>
      <c r="C17" s="168"/>
      <c r="D17" s="168"/>
      <c r="E17" s="167"/>
      <c r="F17" s="167"/>
      <c r="G17" s="167"/>
      <c r="H17" s="167"/>
      <c r="I17" s="166">
        <v>4025447.98</v>
      </c>
      <c r="J17" s="204">
        <v>897906.95</v>
      </c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6"/>
      <c r="V17" s="166"/>
      <c r="W17" s="174"/>
      <c r="X17" s="174"/>
      <c r="Y17" s="166"/>
      <c r="Z17" s="166"/>
    </row>
    <row r="18" spans="1:31" ht="18.75" x14ac:dyDescent="0.3">
      <c r="A18" s="170">
        <v>8</v>
      </c>
      <c r="B18" s="169" t="s">
        <v>542</v>
      </c>
      <c r="C18" s="168"/>
      <c r="D18" s="168"/>
      <c r="E18" s="167"/>
      <c r="F18" s="167"/>
      <c r="G18" s="167"/>
      <c r="H18" s="167"/>
      <c r="I18" s="166">
        <v>1168959.8700000001</v>
      </c>
      <c r="J18" s="204">
        <v>1344463.69</v>
      </c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6"/>
      <c r="V18" s="166"/>
      <c r="W18" s="166"/>
      <c r="X18" s="166"/>
      <c r="Y18" s="166"/>
      <c r="Z18" s="166"/>
    </row>
    <row r="19" spans="1:31" ht="18.75" x14ac:dyDescent="0.3">
      <c r="A19" s="170">
        <v>9</v>
      </c>
      <c r="B19" s="169" t="s">
        <v>541</v>
      </c>
      <c r="C19" s="168"/>
      <c r="D19" s="168"/>
      <c r="E19" s="167"/>
      <c r="F19" s="167"/>
      <c r="G19" s="167"/>
      <c r="H19" s="167"/>
      <c r="I19" s="166">
        <v>2870</v>
      </c>
      <c r="J19" s="204">
        <v>51074.58</v>
      </c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6"/>
      <c r="V19" s="166"/>
      <c r="W19" s="166"/>
      <c r="X19" s="166"/>
      <c r="Y19" s="166"/>
      <c r="Z19" s="166"/>
    </row>
    <row r="20" spans="1:31" ht="18.75" x14ac:dyDescent="0.3">
      <c r="A20" s="170">
        <v>10</v>
      </c>
      <c r="B20" s="169" t="s">
        <v>540</v>
      </c>
      <c r="C20" s="168"/>
      <c r="D20" s="168"/>
      <c r="E20" s="167"/>
      <c r="F20" s="167"/>
      <c r="G20" s="167"/>
      <c r="H20" s="167"/>
      <c r="I20" s="166">
        <v>3538622.15</v>
      </c>
      <c r="J20" s="204">
        <v>3010000.05</v>
      </c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73"/>
      <c r="V20" s="166"/>
      <c r="W20" s="166"/>
      <c r="X20" s="166"/>
      <c r="Y20" s="166"/>
      <c r="Z20" s="166"/>
    </row>
    <row r="21" spans="1:31" ht="18.75" x14ac:dyDescent="0.3">
      <c r="A21" s="170">
        <v>11</v>
      </c>
      <c r="B21" s="169" t="s">
        <v>127</v>
      </c>
      <c r="C21" s="168"/>
      <c r="D21" s="168"/>
      <c r="E21" s="167"/>
      <c r="F21" s="167"/>
      <c r="G21" s="167"/>
      <c r="H21" s="167"/>
      <c r="I21" s="166">
        <v>1094457.6399999999</v>
      </c>
      <c r="J21" s="204">
        <v>374630.62</v>
      </c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6"/>
      <c r="V21" s="166"/>
      <c r="W21" s="166"/>
      <c r="X21" s="166"/>
      <c r="Y21" s="166"/>
      <c r="Z21" s="166"/>
    </row>
    <row r="22" spans="1:31" ht="18.75" x14ac:dyDescent="0.3">
      <c r="A22" s="170">
        <v>12</v>
      </c>
      <c r="B22" s="169" t="s">
        <v>133</v>
      </c>
      <c r="C22" s="168"/>
      <c r="D22" s="168"/>
      <c r="E22" s="167"/>
      <c r="F22" s="167"/>
      <c r="G22" s="167"/>
      <c r="H22" s="167"/>
      <c r="I22" s="166">
        <v>8259</v>
      </c>
      <c r="J22" s="204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6"/>
      <c r="V22" s="166"/>
      <c r="W22" s="166"/>
      <c r="X22" s="166"/>
      <c r="Y22" s="166"/>
      <c r="Z22" s="166"/>
    </row>
    <row r="23" spans="1:31" ht="18.75" x14ac:dyDescent="0.3">
      <c r="A23" s="170">
        <v>13</v>
      </c>
      <c r="B23" s="169" t="s">
        <v>539</v>
      </c>
      <c r="C23" s="168"/>
      <c r="D23" s="168"/>
      <c r="E23" s="167"/>
      <c r="F23" s="167"/>
      <c r="G23" s="167"/>
      <c r="H23" s="167"/>
      <c r="I23" s="166">
        <v>12663.56</v>
      </c>
      <c r="J23" s="204">
        <v>133974.13</v>
      </c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6"/>
      <c r="V23" s="166"/>
      <c r="W23" s="166"/>
      <c r="X23" s="166"/>
      <c r="Y23" s="166"/>
      <c r="Z23" s="166"/>
    </row>
    <row r="24" spans="1:31" ht="18.75" x14ac:dyDescent="0.3">
      <c r="A24" s="170">
        <v>14</v>
      </c>
      <c r="B24" s="169" t="s">
        <v>538</v>
      </c>
      <c r="C24" s="168"/>
      <c r="D24" s="168"/>
      <c r="E24" s="167"/>
      <c r="F24" s="167"/>
      <c r="G24" s="167"/>
      <c r="H24" s="167"/>
      <c r="I24" s="166">
        <v>102596.55</v>
      </c>
      <c r="J24" s="204">
        <v>612295.53</v>
      </c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6"/>
      <c r="V24" s="166"/>
      <c r="W24" s="166"/>
      <c r="X24" s="166"/>
      <c r="Y24" s="166"/>
      <c r="Z24" s="166"/>
      <c r="AE24" t="s">
        <v>640</v>
      </c>
    </row>
    <row r="25" spans="1:31" ht="18.75" x14ac:dyDescent="0.3">
      <c r="A25" s="170">
        <v>15</v>
      </c>
      <c r="B25" s="169" t="s">
        <v>131</v>
      </c>
      <c r="C25" s="168"/>
      <c r="D25" s="168"/>
      <c r="E25" s="167"/>
      <c r="F25" s="167"/>
      <c r="G25" s="167"/>
      <c r="H25" s="167"/>
      <c r="I25" s="166">
        <v>374565.68</v>
      </c>
      <c r="J25" s="204">
        <v>686504.62</v>
      </c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6"/>
      <c r="V25" s="166"/>
      <c r="W25" s="166"/>
      <c r="X25" s="166"/>
      <c r="Y25" s="166"/>
      <c r="Z25" s="166"/>
    </row>
    <row r="26" spans="1:31" ht="18.75" x14ac:dyDescent="0.3">
      <c r="A26" s="170">
        <v>16</v>
      </c>
      <c r="B26" s="169" t="s">
        <v>128</v>
      </c>
      <c r="C26" s="168"/>
      <c r="D26" s="168"/>
      <c r="E26" s="167"/>
      <c r="F26" s="167"/>
      <c r="G26" s="167"/>
      <c r="H26" s="167"/>
      <c r="I26" s="166">
        <v>8442.32</v>
      </c>
      <c r="J26" s="204">
        <v>207983.46</v>
      </c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6"/>
      <c r="V26" s="166"/>
      <c r="W26" s="166"/>
      <c r="X26" s="166"/>
      <c r="Y26" s="166"/>
      <c r="Z26" s="166"/>
    </row>
    <row r="27" spans="1:31" ht="18.75" x14ac:dyDescent="0.3">
      <c r="A27" s="170">
        <v>17</v>
      </c>
      <c r="B27" s="169" t="s">
        <v>537</v>
      </c>
      <c r="C27" s="168"/>
      <c r="D27" s="168"/>
      <c r="E27" s="167"/>
      <c r="F27" s="167"/>
      <c r="G27" s="167"/>
      <c r="H27" s="167"/>
      <c r="I27" s="166">
        <v>4600</v>
      </c>
      <c r="J27" s="204">
        <v>608153.24</v>
      </c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6"/>
      <c r="V27" s="166"/>
      <c r="W27" s="166"/>
      <c r="X27" s="166"/>
      <c r="Y27" s="166"/>
      <c r="Z27" s="166"/>
    </row>
    <row r="28" spans="1:31" ht="18.75" x14ac:dyDescent="0.3">
      <c r="A28" s="170">
        <v>18</v>
      </c>
      <c r="B28" s="169" t="s">
        <v>536</v>
      </c>
      <c r="C28" s="168"/>
      <c r="D28" s="168"/>
      <c r="E28" s="167"/>
      <c r="F28" s="167"/>
      <c r="G28" s="167"/>
      <c r="H28" s="167"/>
      <c r="I28" s="166">
        <v>2000</v>
      </c>
      <c r="J28" s="204">
        <v>55202.69</v>
      </c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6"/>
      <c r="V28" s="166"/>
      <c r="W28" s="172"/>
      <c r="X28" s="172"/>
      <c r="Y28" s="166"/>
      <c r="Z28" s="166"/>
    </row>
    <row r="29" spans="1:31" ht="18.75" x14ac:dyDescent="0.3">
      <c r="A29" s="170">
        <v>19</v>
      </c>
      <c r="B29" s="169" t="s">
        <v>132</v>
      </c>
      <c r="C29" s="168"/>
      <c r="D29" s="168"/>
      <c r="E29" s="167"/>
      <c r="F29" s="167"/>
      <c r="G29" s="167"/>
      <c r="H29" s="167"/>
      <c r="I29" s="166">
        <v>3840</v>
      </c>
      <c r="J29" s="204">
        <v>207947.79</v>
      </c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6"/>
      <c r="V29" s="166"/>
      <c r="W29" s="172"/>
      <c r="X29" s="172"/>
      <c r="Y29" s="166"/>
      <c r="Z29" s="166"/>
    </row>
    <row r="30" spans="1:31" ht="18.75" x14ac:dyDescent="0.3">
      <c r="A30" s="170">
        <v>20</v>
      </c>
      <c r="B30" s="169" t="s">
        <v>535</v>
      </c>
      <c r="C30" s="168"/>
      <c r="D30" s="168"/>
      <c r="E30" s="167"/>
      <c r="F30" s="167"/>
      <c r="G30" s="167"/>
      <c r="H30" s="167"/>
      <c r="I30" s="166">
        <v>5392512.1699999999</v>
      </c>
      <c r="J30" s="167">
        <v>3123445.03</v>
      </c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6"/>
      <c r="V30" s="166"/>
      <c r="W30" s="171"/>
      <c r="X30" s="171"/>
      <c r="Y30" s="166"/>
      <c r="Z30" s="166"/>
      <c r="AD30" s="55"/>
    </row>
    <row r="31" spans="1:31" ht="18.75" x14ac:dyDescent="0.3">
      <c r="A31" s="170">
        <v>21</v>
      </c>
      <c r="B31" s="211" t="s">
        <v>590</v>
      </c>
      <c r="C31" s="20"/>
      <c r="D31" s="20"/>
      <c r="E31" s="20"/>
      <c r="F31" s="20"/>
      <c r="G31" s="20"/>
      <c r="H31" s="20"/>
      <c r="I31" s="166">
        <v>528159.12</v>
      </c>
      <c r="J31" s="204">
        <v>101115.43</v>
      </c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6"/>
      <c r="V31" s="166"/>
      <c r="W31" s="171"/>
      <c r="X31" s="171"/>
      <c r="Y31" s="166"/>
      <c r="Z31" s="166"/>
    </row>
    <row r="32" spans="1:31" ht="18.75" x14ac:dyDescent="0.3">
      <c r="A32" s="170">
        <v>22</v>
      </c>
      <c r="B32" s="211" t="s">
        <v>655</v>
      </c>
      <c r="C32" s="20"/>
      <c r="D32" s="20"/>
      <c r="E32" s="20"/>
      <c r="F32" s="20"/>
      <c r="G32" s="20"/>
      <c r="H32" s="20"/>
      <c r="I32" s="166"/>
      <c r="J32" s="204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6"/>
      <c r="V32" s="166"/>
      <c r="W32" s="171"/>
      <c r="X32" s="171"/>
      <c r="Y32" s="166"/>
      <c r="Z32" s="166"/>
    </row>
    <row r="33" spans="1:26" ht="18.75" x14ac:dyDescent="0.3">
      <c r="A33" s="170">
        <v>23</v>
      </c>
      <c r="B33" s="169" t="s">
        <v>804</v>
      </c>
      <c r="C33" s="20"/>
      <c r="D33" s="20"/>
      <c r="E33" s="20"/>
      <c r="F33" s="20"/>
      <c r="G33" s="20"/>
      <c r="H33" s="20"/>
      <c r="I33" s="166">
        <v>435770.75</v>
      </c>
      <c r="J33" s="204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6"/>
      <c r="V33" s="166"/>
      <c r="W33" s="171"/>
      <c r="X33" s="171"/>
      <c r="Y33" s="166"/>
      <c r="Z33" s="166"/>
    </row>
    <row r="34" spans="1:26" ht="18.75" x14ac:dyDescent="0.3">
      <c r="A34" s="170">
        <v>24</v>
      </c>
      <c r="B34" s="234" t="s">
        <v>656</v>
      </c>
      <c r="C34" s="20"/>
      <c r="D34" s="20"/>
      <c r="E34" s="20"/>
      <c r="F34" s="20"/>
      <c r="G34" s="20"/>
      <c r="H34" s="20"/>
      <c r="I34" s="166">
        <v>2226783.9300000002</v>
      </c>
      <c r="J34" s="204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6"/>
      <c r="V34" s="166"/>
      <c r="W34" s="171"/>
      <c r="X34" s="171"/>
      <c r="Y34" s="166"/>
      <c r="Z34" s="166"/>
    </row>
    <row r="35" spans="1:26" ht="18.75" x14ac:dyDescent="0.3">
      <c r="A35" s="170">
        <v>25</v>
      </c>
      <c r="B35" s="234" t="s">
        <v>805</v>
      </c>
      <c r="C35" s="20"/>
      <c r="D35" s="20"/>
      <c r="E35" s="20"/>
      <c r="F35" s="20"/>
      <c r="G35" s="20"/>
      <c r="H35" s="20"/>
      <c r="I35" s="166">
        <v>604631.51</v>
      </c>
      <c r="J35" s="204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6"/>
      <c r="V35" s="166"/>
      <c r="W35" s="171"/>
      <c r="X35" s="171"/>
      <c r="Y35" s="166"/>
      <c r="Z35" s="166"/>
    </row>
    <row r="36" spans="1:26" ht="18.75" x14ac:dyDescent="0.3">
      <c r="A36" s="510" t="s">
        <v>534</v>
      </c>
      <c r="B36" s="510"/>
      <c r="C36" s="165"/>
      <c r="D36" s="165"/>
      <c r="E36" s="165"/>
      <c r="F36" s="165"/>
      <c r="G36" s="165">
        <f>SUM(G14:G30)</f>
        <v>0</v>
      </c>
      <c r="H36" s="165">
        <f>SUM(H14:H30)</f>
        <v>0</v>
      </c>
      <c r="I36" s="163">
        <f>SUM(I14:I35)</f>
        <v>21643935.260000005</v>
      </c>
      <c r="J36" s="164">
        <f>SUM(J14:J34)</f>
        <v>15942365.479999999</v>
      </c>
      <c r="K36" s="162">
        <f t="shared" ref="K36:Z36" si="1">SUM(K14:K31)</f>
        <v>0</v>
      </c>
      <c r="L36" s="163">
        <f t="shared" si="1"/>
        <v>0</v>
      </c>
      <c r="M36" s="164">
        <f t="shared" si="1"/>
        <v>0</v>
      </c>
      <c r="N36" s="163">
        <f t="shared" si="1"/>
        <v>0</v>
      </c>
      <c r="O36" s="162">
        <f t="shared" si="1"/>
        <v>0</v>
      </c>
      <c r="P36" s="162">
        <f t="shared" si="1"/>
        <v>0</v>
      </c>
      <c r="Q36" s="162">
        <f t="shared" si="1"/>
        <v>0</v>
      </c>
      <c r="R36" s="162">
        <f t="shared" si="1"/>
        <v>0</v>
      </c>
      <c r="S36" s="162">
        <f t="shared" si="1"/>
        <v>0</v>
      </c>
      <c r="T36" s="162">
        <f t="shared" si="1"/>
        <v>0</v>
      </c>
      <c r="U36" s="162">
        <f t="shared" si="1"/>
        <v>0</v>
      </c>
      <c r="V36" s="162">
        <f t="shared" si="1"/>
        <v>0</v>
      </c>
      <c r="W36" s="162">
        <f t="shared" si="1"/>
        <v>0</v>
      </c>
      <c r="X36" s="162">
        <f t="shared" si="1"/>
        <v>0</v>
      </c>
      <c r="Y36" s="162">
        <f t="shared" si="1"/>
        <v>0</v>
      </c>
      <c r="Z36" s="162">
        <f t="shared" si="1"/>
        <v>0</v>
      </c>
    </row>
    <row r="37" spans="1:26" ht="18.75" x14ac:dyDescent="0.25">
      <c r="A37" s="511" t="s">
        <v>97</v>
      </c>
      <c r="B37" s="511"/>
      <c r="C37" s="160">
        <f t="shared" ref="C37:H37" si="2">C13+C36</f>
        <v>0</v>
      </c>
      <c r="D37" s="160">
        <f t="shared" si="2"/>
        <v>0</v>
      </c>
      <c r="E37" s="160">
        <f t="shared" si="2"/>
        <v>0</v>
      </c>
      <c r="F37" s="160">
        <f t="shared" si="2"/>
        <v>0</v>
      </c>
      <c r="G37" s="160">
        <f t="shared" si="2"/>
        <v>0</v>
      </c>
      <c r="H37" s="160">
        <f t="shared" si="2"/>
        <v>0</v>
      </c>
      <c r="I37" s="160">
        <f>+I13+I36</f>
        <v>40980802.390000001</v>
      </c>
      <c r="J37" s="161">
        <f>+J36+J13</f>
        <v>56242261.199999996</v>
      </c>
      <c r="K37" s="160">
        <f t="shared" ref="K37:Z37" si="3">K13+K36</f>
        <v>0</v>
      </c>
      <c r="L37" s="160">
        <f t="shared" si="3"/>
        <v>0</v>
      </c>
      <c r="M37" s="161">
        <f t="shared" si="3"/>
        <v>0</v>
      </c>
      <c r="N37" s="160">
        <f t="shared" si="3"/>
        <v>0</v>
      </c>
      <c r="O37" s="160">
        <f t="shared" si="3"/>
        <v>0</v>
      </c>
      <c r="P37" s="160">
        <f t="shared" si="3"/>
        <v>0</v>
      </c>
      <c r="Q37" s="160">
        <f t="shared" si="3"/>
        <v>0</v>
      </c>
      <c r="R37" s="160">
        <f t="shared" si="3"/>
        <v>0</v>
      </c>
      <c r="S37" s="160">
        <f t="shared" si="3"/>
        <v>0</v>
      </c>
      <c r="T37" s="160">
        <f t="shared" si="3"/>
        <v>0</v>
      </c>
      <c r="U37" s="160">
        <f t="shared" si="3"/>
        <v>0</v>
      </c>
      <c r="V37" s="160">
        <f t="shared" si="3"/>
        <v>0</v>
      </c>
      <c r="W37" s="160">
        <f t="shared" si="3"/>
        <v>0</v>
      </c>
      <c r="X37" s="160">
        <f t="shared" si="3"/>
        <v>0</v>
      </c>
      <c r="Y37" s="160">
        <f t="shared" si="3"/>
        <v>0</v>
      </c>
      <c r="Z37" s="160">
        <f t="shared" si="3"/>
        <v>0</v>
      </c>
    </row>
    <row r="38" spans="1:26" ht="18.75" x14ac:dyDescent="0.25">
      <c r="A38" s="159"/>
      <c r="B38" s="159"/>
      <c r="C38" s="157"/>
      <c r="D38" s="157"/>
      <c r="E38" s="157"/>
      <c r="F38" s="157"/>
      <c r="G38" s="157"/>
      <c r="H38" s="157"/>
      <c r="I38" s="157"/>
      <c r="J38" s="158"/>
      <c r="K38" s="157"/>
      <c r="L38" s="157"/>
      <c r="M38" s="158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</row>
    <row r="39" spans="1:26" ht="18.75" x14ac:dyDescent="0.3">
      <c r="A39" s="504" t="s">
        <v>526</v>
      </c>
      <c r="B39" s="504"/>
      <c r="C39" s="145"/>
      <c r="D39" s="145"/>
      <c r="E39" s="142"/>
      <c r="F39" s="145"/>
      <c r="G39" s="142"/>
      <c r="H39" s="142"/>
      <c r="I39" s="142"/>
      <c r="J39" s="143"/>
      <c r="K39" s="142"/>
      <c r="L39" s="144"/>
      <c r="M39" s="140" t="s">
        <v>533</v>
      </c>
      <c r="W39" s="55"/>
      <c r="Y39" s="55"/>
    </row>
    <row r="40" spans="1:26" ht="18.75" x14ac:dyDescent="0.3">
      <c r="A40" s="505" t="s">
        <v>594</v>
      </c>
      <c r="B40" s="505"/>
      <c r="C40" s="145"/>
      <c r="D40" s="145"/>
      <c r="E40" s="156"/>
      <c r="F40" s="145"/>
      <c r="G40" s="142"/>
      <c r="H40" s="142"/>
      <c r="I40" s="142"/>
      <c r="J40" s="143"/>
      <c r="K40" s="142"/>
      <c r="L40" s="144"/>
      <c r="M40" s="140"/>
    </row>
    <row r="41" spans="1:26" ht="18.75" x14ac:dyDescent="0.25">
      <c r="B41" s="146"/>
      <c r="C41" s="147"/>
      <c r="D41" s="147"/>
      <c r="E41" s="147"/>
      <c r="F41" s="147"/>
      <c r="G41" s="147"/>
      <c r="H41" s="147"/>
      <c r="I41" s="212"/>
      <c r="J41" s="148"/>
      <c r="K41" s="147"/>
      <c r="L41" s="146"/>
      <c r="M41" s="140"/>
    </row>
    <row r="42" spans="1:26" ht="18.75" x14ac:dyDescent="0.3">
      <c r="B42" s="151"/>
      <c r="C42" s="155"/>
      <c r="D42" s="155"/>
      <c r="E42" s="155"/>
      <c r="F42" s="154"/>
      <c r="G42" s="152"/>
      <c r="H42" s="152"/>
      <c r="I42" s="154"/>
      <c r="J42" s="153"/>
      <c r="K42" s="152"/>
      <c r="L42" s="151"/>
      <c r="M42" s="140"/>
    </row>
    <row r="43" spans="1:26" ht="18.75" x14ac:dyDescent="0.3">
      <c r="B43" s="151"/>
      <c r="C43" s="155"/>
      <c r="D43" s="155"/>
      <c r="E43" s="155"/>
      <c r="F43" s="154"/>
      <c r="G43" s="152"/>
      <c r="H43" s="152"/>
      <c r="I43" s="152"/>
      <c r="J43" s="153"/>
      <c r="K43" s="152"/>
      <c r="L43" s="151"/>
      <c r="M43" s="140"/>
    </row>
    <row r="44" spans="1:26" ht="18.75" x14ac:dyDescent="0.3">
      <c r="B44" s="151"/>
      <c r="C44" s="155"/>
      <c r="D44" s="155"/>
      <c r="E44" s="155"/>
      <c r="F44" s="154"/>
      <c r="G44" s="152"/>
      <c r="H44" s="152"/>
      <c r="I44" s="152"/>
      <c r="J44" s="153"/>
      <c r="K44" s="152"/>
      <c r="L44" s="151"/>
      <c r="M44" s="140"/>
    </row>
    <row r="45" spans="1:26" ht="18.75" x14ac:dyDescent="0.3">
      <c r="B45" s="151"/>
      <c r="C45" s="155"/>
      <c r="D45" s="155"/>
      <c r="E45" s="155"/>
      <c r="F45" s="154"/>
      <c r="G45" s="152"/>
      <c r="H45" s="152"/>
      <c r="I45" s="152"/>
      <c r="J45" s="153"/>
      <c r="K45" s="152"/>
      <c r="L45" s="151"/>
      <c r="M45" s="140"/>
    </row>
    <row r="46" spans="1:26" ht="18.75" x14ac:dyDescent="0.3">
      <c r="B46" s="151"/>
      <c r="C46" s="155"/>
      <c r="D46" s="155"/>
      <c r="E46" s="155"/>
      <c r="F46" s="154"/>
      <c r="G46" s="152"/>
      <c r="H46" s="152"/>
      <c r="I46" s="152"/>
      <c r="J46" s="153"/>
      <c r="K46" s="152"/>
      <c r="L46" s="151"/>
      <c r="M46" s="140"/>
    </row>
    <row r="47" spans="1:26" ht="18.75" x14ac:dyDescent="0.3">
      <c r="B47" s="151"/>
      <c r="C47" s="155"/>
      <c r="D47" s="155"/>
      <c r="E47" s="155"/>
      <c r="F47" s="154"/>
      <c r="G47" s="152"/>
      <c r="H47" s="152"/>
      <c r="I47" s="152"/>
      <c r="J47" s="153"/>
      <c r="K47" s="152"/>
      <c r="L47" s="151"/>
      <c r="M47" s="140"/>
    </row>
    <row r="48" spans="1:26" ht="18.75" x14ac:dyDescent="0.3">
      <c r="B48" s="151"/>
      <c r="C48" s="155"/>
      <c r="D48" s="155"/>
      <c r="E48" s="155"/>
      <c r="F48" s="154"/>
      <c r="G48" s="152"/>
      <c r="H48" s="152"/>
      <c r="I48" s="152"/>
      <c r="J48" s="153"/>
      <c r="K48" s="152"/>
      <c r="L48" s="151"/>
      <c r="M48" s="140"/>
    </row>
    <row r="49" spans="2:13" ht="18.75" x14ac:dyDescent="0.3">
      <c r="B49" s="151"/>
      <c r="C49" s="155"/>
      <c r="D49" s="155"/>
      <c r="E49" s="155"/>
      <c r="F49" s="154"/>
      <c r="G49" s="152"/>
      <c r="H49" s="152"/>
      <c r="I49" s="152"/>
      <c r="J49" s="153"/>
      <c r="K49" s="152"/>
      <c r="L49" s="151"/>
      <c r="M49" s="140"/>
    </row>
    <row r="50" spans="2:13" ht="18.75" x14ac:dyDescent="0.3">
      <c r="B50" s="151"/>
      <c r="C50" s="155"/>
      <c r="D50" s="155"/>
      <c r="E50" s="155"/>
      <c r="F50" s="154"/>
      <c r="G50" s="152"/>
      <c r="H50" s="152"/>
      <c r="I50" s="152"/>
      <c r="J50" s="153"/>
      <c r="K50" s="152"/>
      <c r="L50" s="151"/>
      <c r="M50" s="140"/>
    </row>
    <row r="51" spans="2:13" ht="18.75" x14ac:dyDescent="0.3">
      <c r="B51" s="151"/>
      <c r="C51" s="155"/>
      <c r="D51" s="155"/>
      <c r="E51" s="155"/>
      <c r="F51" s="154"/>
      <c r="G51" s="152"/>
      <c r="H51" s="152"/>
      <c r="I51" s="152"/>
      <c r="J51" s="153"/>
      <c r="K51" s="152"/>
      <c r="L51" s="151"/>
      <c r="M51" s="140"/>
    </row>
    <row r="52" spans="2:13" ht="18.75" x14ac:dyDescent="0.3">
      <c r="B52" s="151"/>
      <c r="C52" s="155"/>
      <c r="D52" s="155"/>
      <c r="E52" s="155"/>
      <c r="F52" s="154"/>
      <c r="G52" s="152"/>
      <c r="H52" s="152"/>
      <c r="I52" s="152"/>
      <c r="J52" s="153"/>
      <c r="K52" s="152"/>
      <c r="L52" s="151"/>
      <c r="M52" s="140"/>
    </row>
    <row r="53" spans="2:13" ht="18.75" x14ac:dyDescent="0.3">
      <c r="B53" s="151"/>
      <c r="C53" s="155"/>
      <c r="D53" s="155"/>
      <c r="E53" s="155"/>
      <c r="F53" s="154"/>
      <c r="G53" s="152"/>
      <c r="H53" s="152"/>
      <c r="I53" s="152"/>
      <c r="J53" s="153"/>
      <c r="K53" s="152"/>
      <c r="L53" s="151"/>
      <c r="M53" s="140"/>
    </row>
    <row r="54" spans="2:13" ht="18.75" x14ac:dyDescent="0.3">
      <c r="B54" s="149"/>
      <c r="C54" s="150"/>
      <c r="D54" s="150"/>
      <c r="E54" s="150"/>
      <c r="F54" s="150"/>
      <c r="G54" s="142"/>
      <c r="H54" s="142"/>
      <c r="I54" s="142"/>
      <c r="J54" s="143"/>
      <c r="K54" s="142"/>
      <c r="L54" s="149"/>
      <c r="M54" s="140"/>
    </row>
    <row r="55" spans="2:13" ht="18.75" x14ac:dyDescent="0.3">
      <c r="B55" s="141"/>
      <c r="C55" s="142"/>
      <c r="D55" s="142"/>
      <c r="E55" s="142"/>
      <c r="F55" s="142"/>
      <c r="G55" s="142"/>
      <c r="H55" s="142"/>
      <c r="I55" s="142"/>
      <c r="J55" s="143"/>
      <c r="K55" s="142"/>
      <c r="L55" s="141"/>
      <c r="M55" s="140"/>
    </row>
    <row r="56" spans="2:13" ht="18.75" x14ac:dyDescent="0.25">
      <c r="B56" s="146"/>
      <c r="C56" s="147"/>
      <c r="D56" s="147"/>
      <c r="E56" s="147"/>
      <c r="F56" s="147"/>
      <c r="G56" s="147"/>
      <c r="H56" s="147"/>
      <c r="I56" s="147"/>
      <c r="J56" s="148"/>
      <c r="K56" s="147"/>
      <c r="L56" s="146"/>
      <c r="M56" s="140"/>
    </row>
    <row r="57" spans="2:13" ht="18.75" x14ac:dyDescent="0.3">
      <c r="B57" s="144"/>
      <c r="C57" s="145"/>
      <c r="D57" s="145"/>
      <c r="E57" s="142"/>
      <c r="F57" s="145"/>
      <c r="G57" s="142"/>
      <c r="H57" s="142"/>
      <c r="I57" s="142"/>
      <c r="J57" s="143"/>
      <c r="K57" s="142"/>
      <c r="L57" s="144"/>
      <c r="M57" s="140"/>
    </row>
    <row r="58" spans="2:13" ht="18.75" x14ac:dyDescent="0.3">
      <c r="B58" s="144"/>
      <c r="C58" s="145"/>
      <c r="D58" s="145"/>
      <c r="E58" s="142"/>
      <c r="F58" s="145"/>
      <c r="G58" s="142"/>
      <c r="H58" s="142"/>
      <c r="I58" s="142"/>
      <c r="J58" s="143"/>
      <c r="K58" s="142"/>
      <c r="L58" s="144"/>
      <c r="M58" s="140"/>
    </row>
    <row r="59" spans="2:13" ht="18.75" x14ac:dyDescent="0.3">
      <c r="B59" s="144"/>
      <c r="C59" s="145"/>
      <c r="D59" s="145"/>
      <c r="E59" s="142"/>
      <c r="F59" s="145"/>
      <c r="G59" s="142"/>
      <c r="H59" s="142"/>
      <c r="I59" s="142"/>
      <c r="J59" s="143"/>
      <c r="K59" s="142"/>
      <c r="L59" s="144"/>
      <c r="M59" s="140"/>
    </row>
    <row r="60" spans="2:13" ht="18.75" x14ac:dyDescent="0.3">
      <c r="B60" s="144" t="s">
        <v>533</v>
      </c>
      <c r="C60" s="145"/>
      <c r="D60" s="145"/>
      <c r="E60" s="142"/>
      <c r="F60" s="145"/>
      <c r="G60" s="142"/>
      <c r="H60" s="142"/>
      <c r="I60" s="142"/>
      <c r="J60" s="143"/>
      <c r="K60" s="142"/>
      <c r="L60" s="144"/>
      <c r="M60" s="140"/>
    </row>
    <row r="61" spans="2:13" ht="18.75" x14ac:dyDescent="0.3">
      <c r="B61" s="144"/>
      <c r="C61" s="145"/>
      <c r="D61" s="145"/>
      <c r="E61" s="142"/>
      <c r="F61" s="145"/>
      <c r="G61" s="142"/>
      <c r="H61" s="142"/>
      <c r="I61" s="142"/>
      <c r="J61" s="143"/>
      <c r="K61" s="142"/>
      <c r="L61" s="144"/>
      <c r="M61" s="140"/>
    </row>
    <row r="62" spans="2:13" ht="18.75" x14ac:dyDescent="0.3">
      <c r="B62" s="144"/>
      <c r="C62" s="145"/>
      <c r="D62" s="145"/>
      <c r="E62" s="142"/>
      <c r="F62" s="145"/>
      <c r="G62" s="142"/>
      <c r="H62" s="142"/>
      <c r="I62" s="142"/>
      <c r="J62" s="143"/>
      <c r="K62" s="142"/>
      <c r="L62" s="144"/>
      <c r="M62" s="140"/>
    </row>
    <row r="63" spans="2:13" ht="18.75" x14ac:dyDescent="0.3">
      <c r="B63" s="144"/>
      <c r="C63" s="145"/>
      <c r="D63" s="145"/>
      <c r="E63" s="142"/>
      <c r="F63" s="145"/>
      <c r="G63" s="142"/>
      <c r="H63" s="142"/>
      <c r="I63" s="142"/>
      <c r="J63" s="143"/>
      <c r="K63" s="142"/>
      <c r="L63" s="144"/>
      <c r="M63" s="140"/>
    </row>
    <row r="64" spans="2:13" ht="18.75" x14ac:dyDescent="0.3">
      <c r="B64" s="141"/>
      <c r="C64" s="142"/>
      <c r="D64" s="142"/>
      <c r="E64" s="142"/>
      <c r="F64" s="142"/>
      <c r="G64" s="142"/>
      <c r="H64" s="142"/>
      <c r="I64" s="142"/>
      <c r="J64" s="143"/>
      <c r="K64" s="142"/>
      <c r="L64" s="141"/>
      <c r="M64" s="140"/>
    </row>
    <row r="65" spans="2:13" ht="18.75" x14ac:dyDescent="0.3">
      <c r="B65" s="141"/>
      <c r="C65" s="142"/>
      <c r="D65" s="142"/>
      <c r="E65" s="142"/>
      <c r="F65" s="142"/>
      <c r="G65" s="142"/>
      <c r="H65" s="142"/>
      <c r="I65" s="142"/>
      <c r="J65" s="143"/>
      <c r="K65" s="142"/>
      <c r="L65" s="141"/>
      <c r="M65" s="140"/>
    </row>
    <row r="66" spans="2:13" ht="18.75" x14ac:dyDescent="0.3">
      <c r="B66" s="141"/>
      <c r="C66" s="142"/>
      <c r="D66" s="142"/>
      <c r="E66" s="142"/>
      <c r="F66" s="142"/>
      <c r="G66" s="142"/>
      <c r="H66" s="142"/>
      <c r="I66" s="142"/>
      <c r="J66" s="143"/>
      <c r="K66" s="142"/>
      <c r="L66" s="141"/>
      <c r="M66" s="140"/>
    </row>
    <row r="67" spans="2:13" ht="18.75" x14ac:dyDescent="0.3">
      <c r="B67" s="141"/>
      <c r="C67" s="142"/>
      <c r="D67" s="142"/>
      <c r="E67" s="142"/>
      <c r="F67" s="142"/>
      <c r="G67" s="142"/>
      <c r="H67" s="142"/>
      <c r="I67" s="142"/>
      <c r="J67" s="143"/>
      <c r="K67" s="142"/>
      <c r="L67" s="141"/>
      <c r="M67" s="140"/>
    </row>
  </sheetData>
  <mergeCells count="23">
    <mergeCell ref="A39:B39"/>
    <mergeCell ref="A40:B40"/>
    <mergeCell ref="M8:N8"/>
    <mergeCell ref="I8:J8"/>
    <mergeCell ref="K8:L8"/>
    <mergeCell ref="A8:B8"/>
    <mergeCell ref="C8:D8"/>
    <mergeCell ref="E8:F8"/>
    <mergeCell ref="G8:H8"/>
    <mergeCell ref="A13:B13"/>
    <mergeCell ref="A37:B37"/>
    <mergeCell ref="A36:B36"/>
    <mergeCell ref="Y8:Z8"/>
    <mergeCell ref="O8:P8"/>
    <mergeCell ref="Q8:R8"/>
    <mergeCell ref="S8:T8"/>
    <mergeCell ref="U8:V8"/>
    <mergeCell ref="W8:X8"/>
    <mergeCell ref="A2:K2"/>
    <mergeCell ref="A3:K3"/>
    <mergeCell ref="A4:K4"/>
    <mergeCell ref="A6:B6"/>
    <mergeCell ref="E5:F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98"/>
  <sheetViews>
    <sheetView tabSelected="1" topLeftCell="A77" workbookViewId="0">
      <selection activeCell="C91" sqref="C91"/>
    </sheetView>
  </sheetViews>
  <sheetFormatPr baseColWidth="10" defaultRowHeight="15" x14ac:dyDescent="0.25"/>
  <cols>
    <col min="1" max="1" width="57.7109375" customWidth="1"/>
    <col min="2" max="14" width="19.28515625" customWidth="1"/>
  </cols>
  <sheetData>
    <row r="5" spans="1:14" ht="18.75" x14ac:dyDescent="0.25">
      <c r="A5" s="459" t="s">
        <v>102</v>
      </c>
      <c r="B5" s="459"/>
      <c r="C5" s="459"/>
      <c r="D5" s="459"/>
      <c r="E5" s="459"/>
      <c r="F5" s="459"/>
      <c r="G5" s="459"/>
      <c r="H5" s="459"/>
      <c r="I5" s="459"/>
      <c r="J5" s="459"/>
      <c r="K5" s="459"/>
      <c r="L5" s="459"/>
      <c r="M5" s="459"/>
      <c r="N5" s="459"/>
    </row>
    <row r="6" spans="1:14" ht="18.75" x14ac:dyDescent="0.25">
      <c r="A6" s="459" t="s">
        <v>103</v>
      </c>
      <c r="B6" s="459"/>
      <c r="C6" s="459"/>
      <c r="D6" s="459"/>
      <c r="E6" s="459"/>
      <c r="F6" s="459"/>
      <c r="G6" s="459"/>
      <c r="H6" s="459"/>
      <c r="I6" s="459"/>
      <c r="J6" s="459"/>
      <c r="K6" s="459"/>
      <c r="L6" s="459"/>
      <c r="M6" s="459"/>
      <c r="N6" s="459"/>
    </row>
    <row r="7" spans="1:14" ht="18.75" x14ac:dyDescent="0.25">
      <c r="A7" s="459" t="s">
        <v>104</v>
      </c>
      <c r="B7" s="459"/>
      <c r="C7" s="459"/>
      <c r="D7" s="459"/>
      <c r="E7" s="459"/>
      <c r="F7" s="459"/>
      <c r="G7" s="459"/>
      <c r="H7" s="459"/>
      <c r="I7" s="459"/>
      <c r="J7" s="459"/>
      <c r="K7" s="459"/>
      <c r="L7" s="459"/>
      <c r="M7" s="459"/>
      <c r="N7" s="459"/>
    </row>
    <row r="8" spans="1:14" ht="15.75" x14ac:dyDescent="0.25">
      <c r="A8" s="460" t="s">
        <v>811</v>
      </c>
      <c r="B8" s="460"/>
      <c r="C8" s="460"/>
      <c r="D8" s="460"/>
      <c r="E8" s="460"/>
      <c r="F8" s="460"/>
      <c r="G8" s="460"/>
      <c r="H8" s="460"/>
      <c r="I8" s="460"/>
      <c r="J8" s="460"/>
      <c r="K8" s="460"/>
      <c r="L8" s="460"/>
      <c r="M8" s="460"/>
      <c r="N8" s="460"/>
    </row>
    <row r="9" spans="1:14" x14ac:dyDescent="0.25">
      <c r="A9" s="461" t="s">
        <v>36</v>
      </c>
      <c r="B9" s="461"/>
      <c r="C9" s="461"/>
      <c r="D9" s="461"/>
      <c r="E9" s="461"/>
      <c r="F9" s="461"/>
      <c r="G9" s="461"/>
      <c r="H9" s="461"/>
      <c r="I9" s="461"/>
      <c r="J9" s="461"/>
      <c r="K9" s="461"/>
      <c r="L9" s="461"/>
      <c r="M9" s="461"/>
      <c r="N9" s="461"/>
    </row>
    <row r="11" spans="1:14" ht="15.75" x14ac:dyDescent="0.25">
      <c r="A11" s="392" t="s">
        <v>0</v>
      </c>
      <c r="B11" s="393" t="s">
        <v>94</v>
      </c>
      <c r="C11" s="393" t="s">
        <v>79</v>
      </c>
      <c r="D11" s="393" t="s">
        <v>80</v>
      </c>
      <c r="E11" s="393" t="s">
        <v>81</v>
      </c>
      <c r="F11" s="393" t="s">
        <v>82</v>
      </c>
      <c r="G11" s="393" t="s">
        <v>83</v>
      </c>
      <c r="H11" s="393" t="s">
        <v>84</v>
      </c>
      <c r="I11" s="393" t="s">
        <v>85</v>
      </c>
      <c r="J11" s="393" t="s">
        <v>86</v>
      </c>
      <c r="K11" s="393" t="s">
        <v>87</v>
      </c>
      <c r="L11" s="393" t="s">
        <v>88</v>
      </c>
      <c r="M11" s="393" t="s">
        <v>89</v>
      </c>
      <c r="N11" s="393" t="s">
        <v>90</v>
      </c>
    </row>
    <row r="12" spans="1:14" x14ac:dyDescent="0.25">
      <c r="A12" s="394" t="s">
        <v>1</v>
      </c>
      <c r="B12" s="395"/>
      <c r="C12" s="395"/>
      <c r="D12" s="395"/>
      <c r="E12" s="395"/>
      <c r="F12" s="395"/>
      <c r="G12" s="395"/>
      <c r="H12" s="395"/>
      <c r="I12" s="395"/>
      <c r="J12" s="395"/>
      <c r="K12" s="395"/>
      <c r="L12" s="395"/>
      <c r="M12" s="395"/>
      <c r="N12" s="395"/>
    </row>
    <row r="13" spans="1:14" x14ac:dyDescent="0.25">
      <c r="A13" s="396" t="s">
        <v>2</v>
      </c>
      <c r="B13" s="397">
        <f>SUM(C13:N13)</f>
        <v>437863254.59999996</v>
      </c>
      <c r="C13" s="398">
        <f>SUM(C14:C18)</f>
        <v>24858456.620000001</v>
      </c>
      <c r="D13" s="398">
        <f t="shared" ref="D13:N13" si="0">SUM(D14:D18)</f>
        <v>20651202.32</v>
      </c>
      <c r="E13" s="398">
        <f t="shared" si="0"/>
        <v>31135948.59</v>
      </c>
      <c r="F13" s="398">
        <f t="shared" si="0"/>
        <v>29767596.859999999</v>
      </c>
      <c r="G13" s="398">
        <f t="shared" si="0"/>
        <v>19752427.27</v>
      </c>
      <c r="H13" s="398">
        <f t="shared" si="0"/>
        <v>8043686.1999999993</v>
      </c>
      <c r="I13" s="398">
        <f t="shared" si="0"/>
        <v>69946441.400000006</v>
      </c>
      <c r="J13" s="398">
        <f t="shared" si="0"/>
        <v>30374708.479999997</v>
      </c>
      <c r="K13" s="398">
        <f t="shared" si="0"/>
        <v>41648513.5</v>
      </c>
      <c r="L13" s="398">
        <f t="shared" si="0"/>
        <v>62216662.200000003</v>
      </c>
      <c r="M13" s="398">
        <f t="shared" si="0"/>
        <v>32682345.84</v>
      </c>
      <c r="N13" s="398">
        <f t="shared" si="0"/>
        <v>66785265.32</v>
      </c>
    </row>
    <row r="14" spans="1:14" x14ac:dyDescent="0.25">
      <c r="A14" s="399" t="s">
        <v>3</v>
      </c>
      <c r="B14" s="400">
        <f>SUM(C14:N14)</f>
        <v>286055347.43000007</v>
      </c>
      <c r="C14" s="401">
        <f>14551666.4+1725582.45</f>
        <v>16277248.85</v>
      </c>
      <c r="D14" s="401">
        <f>14443062.55+3293635.05</f>
        <v>17736697.600000001</v>
      </c>
      <c r="E14" s="401">
        <f>14408240.37+3572898.81</f>
        <v>17981139.18</v>
      </c>
      <c r="F14" s="401">
        <f>14262441.97+1999746.1</f>
        <v>16262188.07</v>
      </c>
      <c r="G14" s="401">
        <f>14035492.82+2708975</f>
        <v>16744467.82</v>
      </c>
      <c r="H14" s="401">
        <f>897818.73+45405</f>
        <v>943223.73</v>
      </c>
      <c r="I14" s="401">
        <f>35690888.84+9788770.69</f>
        <v>45479659.530000001</v>
      </c>
      <c r="J14" s="401">
        <f>18099994.8+6196531.6+2011984.16</f>
        <v>26308510.559999999</v>
      </c>
      <c r="K14" s="401">
        <f>18427237.68+8190731.31</f>
        <v>26617968.989999998</v>
      </c>
      <c r="L14" s="401">
        <f>18582210.78+8706947.27</f>
        <v>27289158.050000001</v>
      </c>
      <c r="M14" s="401">
        <f>16786593.79+11400123.23</f>
        <v>28186717.02</v>
      </c>
      <c r="N14" s="401">
        <f>30884845.27+15343522.76</f>
        <v>46228368.030000001</v>
      </c>
    </row>
    <row r="15" spans="1:14" x14ac:dyDescent="0.25">
      <c r="A15" s="399" t="s">
        <v>4</v>
      </c>
      <c r="B15" s="400">
        <f t="shared" ref="B15:B18" si="1">SUM(C15:N15)</f>
        <v>113416935.52000001</v>
      </c>
      <c r="C15" s="401">
        <f>440267+5647449.56</f>
        <v>6087716.5599999996</v>
      </c>
      <c r="D15" s="401">
        <f>373854+66413</f>
        <v>440267</v>
      </c>
      <c r="E15" s="401">
        <f>374354+10311573.82</f>
        <v>10685927.82</v>
      </c>
      <c r="F15" s="401">
        <f>393854+10775837.96</f>
        <v>11169691.960000001</v>
      </c>
      <c r="G15" s="401">
        <v>461267</v>
      </c>
      <c r="H15" s="401">
        <v>7100462.4699999997</v>
      </c>
      <c r="I15" s="401">
        <v>17449237.510000002</v>
      </c>
      <c r="J15" s="401">
        <f>519649</f>
        <v>519649</v>
      </c>
      <c r="K15" s="401">
        <f>519649+10701471.66</f>
        <v>11221120.66</v>
      </c>
      <c r="L15" s="401">
        <f>525031+30424481.48</f>
        <v>30949512.48</v>
      </c>
      <c r="M15" s="401">
        <f>529031</f>
        <v>529031</v>
      </c>
      <c r="N15" s="401">
        <f>679031+16124021.06</f>
        <v>16803052.060000002</v>
      </c>
    </row>
    <row r="16" spans="1:14" x14ac:dyDescent="0.25">
      <c r="A16" s="399" t="s">
        <v>37</v>
      </c>
      <c r="B16" s="400">
        <f t="shared" si="1"/>
        <v>0</v>
      </c>
      <c r="C16" s="401"/>
      <c r="D16" s="401"/>
      <c r="E16" s="401"/>
      <c r="F16" s="401"/>
      <c r="G16" s="401"/>
      <c r="H16" s="401"/>
      <c r="I16" s="401"/>
      <c r="J16" s="401"/>
      <c r="K16" s="401"/>
      <c r="L16" s="401"/>
      <c r="M16" s="401"/>
      <c r="N16" s="401"/>
    </row>
    <row r="17" spans="1:14" x14ac:dyDescent="0.25">
      <c r="A17" s="399" t="s">
        <v>5</v>
      </c>
      <c r="B17" s="400">
        <f t="shared" si="1"/>
        <v>0</v>
      </c>
      <c r="C17" s="401"/>
      <c r="D17" s="401"/>
      <c r="E17" s="401"/>
      <c r="F17" s="401"/>
      <c r="G17" s="401"/>
      <c r="H17" s="401"/>
      <c r="I17" s="401"/>
      <c r="J17" s="401"/>
      <c r="K17" s="401"/>
      <c r="L17" s="401"/>
      <c r="M17" s="401"/>
      <c r="N17" s="401"/>
    </row>
    <row r="18" spans="1:14" x14ac:dyDescent="0.25">
      <c r="A18" s="399" t="s">
        <v>6</v>
      </c>
      <c r="B18" s="400">
        <f t="shared" si="1"/>
        <v>38390971.649999999</v>
      </c>
      <c r="C18" s="401">
        <f>2235617.95+257873.26</f>
        <v>2493491.21</v>
      </c>
      <c r="D18" s="401">
        <f>2218903.81+255333.91</f>
        <v>2474237.7200000002</v>
      </c>
      <c r="E18" s="401">
        <f>2213547.68+255333.91</f>
        <v>2468881.5900000003</v>
      </c>
      <c r="F18" s="401">
        <f>2191106.3+144610.53</f>
        <v>2335716.8299999996</v>
      </c>
      <c r="G18" s="401">
        <f>2177429.95+369262.5</f>
        <v>2546692.4500000002</v>
      </c>
      <c r="H18" s="401"/>
      <c r="I18" s="401">
        <f>5315441.57+1702102.79</f>
        <v>7017544.3600000003</v>
      </c>
      <c r="J18" s="401">
        <f>3373434.12+173114.8</f>
        <v>3546548.92</v>
      </c>
      <c r="K18" s="401">
        <f>2823106.04+986317.81</f>
        <v>3809423.85</v>
      </c>
      <c r="L18" s="401">
        <f>2846956.4+1131035.27</f>
        <v>3977991.67</v>
      </c>
      <c r="M18" s="401">
        <f>2573759.05+1392838.77</f>
        <v>3966597.82</v>
      </c>
      <c r="N18" s="401">
        <f>2568203.26+1185641.97</f>
        <v>3753845.2299999995</v>
      </c>
    </row>
    <row r="19" spans="1:14" x14ac:dyDescent="0.25">
      <c r="A19" s="396" t="s">
        <v>7</v>
      </c>
      <c r="B19" s="397">
        <f>SUM(C19:N19)</f>
        <v>85697173.641000003</v>
      </c>
      <c r="C19" s="398">
        <f>SUM(C20:C28)</f>
        <v>37562.92</v>
      </c>
      <c r="D19" s="398">
        <f t="shared" ref="D19:N19" si="2">SUM(D20:D28)</f>
        <v>3857936.2899999996</v>
      </c>
      <c r="E19" s="398">
        <f t="shared" si="2"/>
        <v>31261267.640000001</v>
      </c>
      <c r="F19" s="398">
        <f t="shared" si="2"/>
        <v>4816707.7699999996</v>
      </c>
      <c r="G19" s="398">
        <f t="shared" si="2"/>
        <v>3949112.2600000002</v>
      </c>
      <c r="H19" s="398">
        <f t="shared" si="2"/>
        <v>7345119.79</v>
      </c>
      <c r="I19" s="398">
        <f t="shared" si="2"/>
        <v>4201278.3</v>
      </c>
      <c r="J19" s="398">
        <f t="shared" si="2"/>
        <v>5424416.7209999999</v>
      </c>
      <c r="K19" s="398">
        <f t="shared" si="2"/>
        <v>5534609.4500000002</v>
      </c>
      <c r="L19" s="398">
        <f t="shared" si="2"/>
        <v>7182525.4700000007</v>
      </c>
      <c r="M19" s="398">
        <f t="shared" si="2"/>
        <v>7355862.7000000002</v>
      </c>
      <c r="N19" s="398">
        <f t="shared" si="2"/>
        <v>4730774.33</v>
      </c>
    </row>
    <row r="20" spans="1:14" x14ac:dyDescent="0.25">
      <c r="A20" s="399" t="s">
        <v>8</v>
      </c>
      <c r="B20" s="400">
        <f t="shared" ref="B20:B28" si="3">SUM(C20:N20)</f>
        <v>13069843.030000001</v>
      </c>
      <c r="C20" s="401"/>
      <c r="D20" s="401"/>
      <c r="E20" s="401">
        <v>2668277.0999999996</v>
      </c>
      <c r="F20" s="401">
        <v>1564500</v>
      </c>
      <c r="G20" s="401">
        <v>1419852</v>
      </c>
      <c r="H20" s="401">
        <v>1233150.94</v>
      </c>
      <c r="I20" s="401">
        <v>331500.52</v>
      </c>
      <c r="J20" s="401">
        <v>1884723.73</v>
      </c>
      <c r="K20" s="401">
        <v>166178.06</v>
      </c>
      <c r="L20" s="401">
        <v>1655520.15</v>
      </c>
      <c r="M20" s="401">
        <v>2132940.5300000003</v>
      </c>
      <c r="N20" s="401">
        <v>13200</v>
      </c>
    </row>
    <row r="21" spans="1:14" x14ac:dyDescent="0.25">
      <c r="A21" s="399" t="s">
        <v>9</v>
      </c>
      <c r="B21" s="400">
        <f>SUM(C21:N21)</f>
        <v>285573.03000000003</v>
      </c>
      <c r="C21" s="401"/>
      <c r="D21" s="401"/>
      <c r="E21" s="401"/>
      <c r="F21" s="401"/>
      <c r="G21" s="401"/>
      <c r="H21" s="401"/>
      <c r="I21" s="401"/>
      <c r="J21" s="401"/>
      <c r="K21" s="401"/>
      <c r="L21" s="401"/>
      <c r="M21" s="401">
        <v>135477.03</v>
      </c>
      <c r="N21" s="401">
        <v>150096</v>
      </c>
    </row>
    <row r="22" spans="1:14" x14ac:dyDescent="0.25">
      <c r="A22" s="399" t="s">
        <v>10</v>
      </c>
      <c r="B22" s="400">
        <f t="shared" si="3"/>
        <v>0</v>
      </c>
      <c r="C22" s="401"/>
      <c r="D22" s="401"/>
      <c r="E22" s="401"/>
      <c r="F22" s="401"/>
      <c r="G22" s="401"/>
      <c r="H22" s="401"/>
      <c r="I22" s="401"/>
      <c r="J22" s="401"/>
      <c r="K22" s="401"/>
      <c r="L22" s="401"/>
      <c r="M22" s="401"/>
      <c r="N22" s="401"/>
    </row>
    <row r="23" spans="1:14" x14ac:dyDescent="0.25">
      <c r="A23" s="399" t="s">
        <v>11</v>
      </c>
      <c r="B23" s="400">
        <f t="shared" si="3"/>
        <v>287616.7</v>
      </c>
      <c r="C23" s="401"/>
      <c r="D23" s="401">
        <v>4547.51</v>
      </c>
      <c r="E23" s="401">
        <v>16612.82</v>
      </c>
      <c r="F23" s="401"/>
      <c r="G23" s="401">
        <v>150000</v>
      </c>
      <c r="H23" s="401"/>
      <c r="I23" s="401"/>
      <c r="J23" s="401">
        <v>1100</v>
      </c>
      <c r="K23" s="401">
        <v>1210</v>
      </c>
      <c r="L23" s="401">
        <v>6378.7999999999993</v>
      </c>
      <c r="M23" s="401">
        <v>85957.57</v>
      </c>
      <c r="N23" s="401">
        <v>21810</v>
      </c>
    </row>
    <row r="24" spans="1:14" x14ac:dyDescent="0.25">
      <c r="A24" s="399" t="s">
        <v>12</v>
      </c>
      <c r="B24" s="400">
        <f t="shared" si="3"/>
        <v>4647483.88</v>
      </c>
      <c r="C24" s="401"/>
      <c r="D24" s="401"/>
      <c r="E24" s="401">
        <v>33200</v>
      </c>
      <c r="F24" s="401">
        <v>2500</v>
      </c>
      <c r="G24" s="401"/>
      <c r="H24" s="401">
        <v>2664344.54</v>
      </c>
      <c r="I24" s="401">
        <v>4159.34</v>
      </c>
      <c r="J24" s="401">
        <v>40980</v>
      </c>
      <c r="K24" s="401">
        <v>2500</v>
      </c>
      <c r="L24" s="401">
        <v>796500</v>
      </c>
      <c r="M24" s="401"/>
      <c r="N24" s="401">
        <v>1103300</v>
      </c>
    </row>
    <row r="25" spans="1:14" x14ac:dyDescent="0.25">
      <c r="A25" s="399" t="s">
        <v>13</v>
      </c>
      <c r="B25" s="400">
        <f t="shared" si="3"/>
        <v>4450347.5599999996</v>
      </c>
      <c r="C25" s="401"/>
      <c r="D25" s="401">
        <v>1187242.6499999999</v>
      </c>
      <c r="E25" s="401">
        <v>198975.03999999998</v>
      </c>
      <c r="F25" s="401">
        <v>239196.36</v>
      </c>
      <c r="G25" s="401">
        <v>351222.56</v>
      </c>
      <c r="H25" s="401">
        <v>335135.63</v>
      </c>
      <c r="I25" s="401">
        <v>150768</v>
      </c>
      <c r="J25" s="401">
        <v>534499.16</v>
      </c>
      <c r="K25" s="401">
        <v>359076</v>
      </c>
      <c r="L25" s="401">
        <v>371334.36</v>
      </c>
      <c r="M25" s="401">
        <v>371979.36</v>
      </c>
      <c r="N25" s="401">
        <v>350918.44</v>
      </c>
    </row>
    <row r="26" spans="1:14" x14ac:dyDescent="0.25">
      <c r="A26" s="399" t="s">
        <v>14</v>
      </c>
      <c r="B26" s="400">
        <f t="shared" si="3"/>
        <v>35964725.681000002</v>
      </c>
      <c r="C26" s="401"/>
      <c r="D26" s="401">
        <v>100152.2</v>
      </c>
      <c r="E26" s="401">
        <v>26657004.84</v>
      </c>
      <c r="F26" s="401">
        <v>8142</v>
      </c>
      <c r="G26" s="401">
        <v>330370.05</v>
      </c>
      <c r="H26" s="401">
        <v>466115.19999999995</v>
      </c>
      <c r="I26" s="401">
        <v>2528755.92</v>
      </c>
      <c r="J26" s="401">
        <v>763682.04099999985</v>
      </c>
      <c r="K26" s="401">
        <v>186300.96</v>
      </c>
      <c r="L26" s="401">
        <v>2049806.2599999998</v>
      </c>
      <c r="M26" s="401">
        <v>2813685.7599999998</v>
      </c>
      <c r="N26" s="401">
        <v>60710.45</v>
      </c>
    </row>
    <row r="27" spans="1:14" x14ac:dyDescent="0.25">
      <c r="A27" s="399" t="s">
        <v>15</v>
      </c>
      <c r="B27" s="400">
        <f t="shared" si="3"/>
        <v>15228269.449999999</v>
      </c>
      <c r="C27" s="401">
        <v>37562.92</v>
      </c>
      <c r="D27" s="401">
        <v>1392842.53</v>
      </c>
      <c r="E27" s="401">
        <v>1687197.84</v>
      </c>
      <c r="F27" s="401">
        <v>632000.75</v>
      </c>
      <c r="G27" s="401">
        <v>969348.05</v>
      </c>
      <c r="H27" s="401">
        <v>1843533.18</v>
      </c>
      <c r="I27" s="401">
        <v>412908.97</v>
      </c>
      <c r="J27" s="401">
        <v>1043934.49</v>
      </c>
      <c r="K27" s="401">
        <v>3716076.63</v>
      </c>
      <c r="L27" s="401">
        <v>1158362.8999999999</v>
      </c>
      <c r="M27" s="401">
        <v>624060.15</v>
      </c>
      <c r="N27" s="401">
        <v>1710441.04</v>
      </c>
    </row>
    <row r="28" spans="1:14" x14ac:dyDescent="0.25">
      <c r="A28" s="399" t="s">
        <v>38</v>
      </c>
      <c r="B28" s="400">
        <f t="shared" si="3"/>
        <v>11763314.310000001</v>
      </c>
      <c r="C28" s="401"/>
      <c r="D28" s="401">
        <v>1173151.3999999999</v>
      </c>
      <c r="E28" s="401"/>
      <c r="F28" s="401">
        <v>2370368.66</v>
      </c>
      <c r="G28" s="401">
        <v>728319.6</v>
      </c>
      <c r="H28" s="401">
        <v>802840.3</v>
      </c>
      <c r="I28" s="401">
        <v>773185.55</v>
      </c>
      <c r="J28" s="401">
        <v>1155497.3</v>
      </c>
      <c r="K28" s="401">
        <v>1103267.8</v>
      </c>
      <c r="L28" s="401">
        <v>1144623</v>
      </c>
      <c r="M28" s="401">
        <v>1191762.3</v>
      </c>
      <c r="N28" s="401">
        <v>1320298.3999999999</v>
      </c>
    </row>
    <row r="29" spans="1:14" x14ac:dyDescent="0.25">
      <c r="A29" s="396" t="s">
        <v>16</v>
      </c>
      <c r="B29" s="397">
        <f>SUM(C29:N29)</f>
        <v>444437124.41599995</v>
      </c>
      <c r="C29" s="398">
        <f>SUM(C30:C38)</f>
        <v>11359379.41</v>
      </c>
      <c r="D29" s="398">
        <f t="shared" ref="D29:M29" si="4">SUM(D30:D38)</f>
        <v>46228413.760000005</v>
      </c>
      <c r="E29" s="398">
        <f t="shared" si="4"/>
        <v>27361438.550000004</v>
      </c>
      <c r="F29" s="398">
        <f t="shared" si="4"/>
        <v>20523367.899999999</v>
      </c>
      <c r="G29" s="398">
        <f t="shared" si="4"/>
        <v>35644853.500000007</v>
      </c>
      <c r="H29" s="398">
        <f t="shared" si="4"/>
        <v>36388757.620000005</v>
      </c>
      <c r="I29" s="398">
        <f t="shared" si="4"/>
        <v>47469095.75</v>
      </c>
      <c r="J29" s="398">
        <f t="shared" si="4"/>
        <v>41253682.450000003</v>
      </c>
      <c r="K29" s="398">
        <f t="shared" si="4"/>
        <v>48404161.57</v>
      </c>
      <c r="L29" s="398">
        <f t="shared" si="4"/>
        <v>47377324.150000006</v>
      </c>
      <c r="M29" s="398">
        <f t="shared" si="4"/>
        <v>42431967.936000004</v>
      </c>
      <c r="N29" s="398">
        <f>SUM(N30:N38)</f>
        <v>39994681.820000008</v>
      </c>
    </row>
    <row r="30" spans="1:14" x14ac:dyDescent="0.25">
      <c r="A30" s="399" t="s">
        <v>17</v>
      </c>
      <c r="B30" s="400">
        <f t="shared" ref="B30:B38" si="5">SUM(C30:N30)</f>
        <v>20311036.189999998</v>
      </c>
      <c r="C30" s="401">
        <v>720157.43</v>
      </c>
      <c r="D30" s="401">
        <v>705924.62</v>
      </c>
      <c r="E30" s="401">
        <v>634164.62</v>
      </c>
      <c r="F30" s="401">
        <v>600957.87</v>
      </c>
      <c r="G30" s="401">
        <v>715789.25</v>
      </c>
      <c r="H30" s="401">
        <v>733257</v>
      </c>
      <c r="I30" s="401">
        <v>805816.3</v>
      </c>
      <c r="J30" s="401">
        <v>858220.94</v>
      </c>
      <c r="K30" s="401">
        <v>535836.75</v>
      </c>
      <c r="L30" s="401">
        <v>734652.6</v>
      </c>
      <c r="M30" s="401">
        <v>759343.1</v>
      </c>
      <c r="N30" s="401">
        <f>827235.39+11679680.32</f>
        <v>12506915.710000001</v>
      </c>
    </row>
    <row r="31" spans="1:14" x14ac:dyDescent="0.25">
      <c r="A31" s="399" t="s">
        <v>18</v>
      </c>
      <c r="B31" s="400">
        <f t="shared" si="5"/>
        <v>2339425.44</v>
      </c>
      <c r="C31" s="401"/>
      <c r="D31" s="401"/>
      <c r="E31" s="401"/>
      <c r="F31" s="401"/>
      <c r="G31" s="401">
        <v>2026684</v>
      </c>
      <c r="H31" s="401"/>
      <c r="I31" s="401">
        <v>11611.2</v>
      </c>
      <c r="J31" s="401"/>
      <c r="K31" s="401">
        <v>92630</v>
      </c>
      <c r="L31" s="401">
        <v>57820</v>
      </c>
      <c r="M31" s="401">
        <v>100730.84</v>
      </c>
      <c r="N31" s="401">
        <v>49949.4</v>
      </c>
    </row>
    <row r="32" spans="1:14" x14ac:dyDescent="0.25">
      <c r="A32" s="399" t="s">
        <v>19</v>
      </c>
      <c r="B32" s="400">
        <f t="shared" si="5"/>
        <v>4526729.0600000005</v>
      </c>
      <c r="C32" s="401"/>
      <c r="D32" s="401">
        <v>260392.36</v>
      </c>
      <c r="E32" s="401">
        <v>3450</v>
      </c>
      <c r="F32" s="401">
        <v>173307.09</v>
      </c>
      <c r="G32" s="401">
        <v>1384116.4</v>
      </c>
      <c r="H32" s="401">
        <v>66218</v>
      </c>
      <c r="I32" s="401">
        <v>1386984.98</v>
      </c>
      <c r="J32" s="401">
        <v>250715.07</v>
      </c>
      <c r="K32" s="401">
        <v>286315.2</v>
      </c>
      <c r="L32" s="401">
        <v>251311.47999999998</v>
      </c>
      <c r="M32" s="401">
        <v>403324</v>
      </c>
      <c r="N32" s="401">
        <v>60594.48</v>
      </c>
    </row>
    <row r="33" spans="1:14" x14ac:dyDescent="0.25">
      <c r="A33" s="399" t="s">
        <v>20</v>
      </c>
      <c r="B33" s="400">
        <f t="shared" si="5"/>
        <v>76027840.820000008</v>
      </c>
      <c r="C33" s="401">
        <v>3222356.5799999982</v>
      </c>
      <c r="D33" s="401">
        <v>18531024.68</v>
      </c>
      <c r="E33" s="401">
        <v>6841963.4300000016</v>
      </c>
      <c r="F33" s="401">
        <v>3377282.3499999996</v>
      </c>
      <c r="G33" s="401">
        <v>7045424.75</v>
      </c>
      <c r="H33" s="401">
        <v>4382290.2200000025</v>
      </c>
      <c r="I33" s="401">
        <v>6762569.8999999976</v>
      </c>
      <c r="J33" s="401">
        <v>7422913.339999998</v>
      </c>
      <c r="K33" s="401">
        <v>4899803.1000000006</v>
      </c>
      <c r="L33" s="401">
        <v>2702812.4800000004</v>
      </c>
      <c r="M33" s="401">
        <v>6522347.3399999999</v>
      </c>
      <c r="N33" s="401">
        <v>4317052.6500000013</v>
      </c>
    </row>
    <row r="34" spans="1:14" x14ac:dyDescent="0.25">
      <c r="A34" s="399" t="s">
        <v>21</v>
      </c>
      <c r="B34" s="400">
        <f t="shared" si="5"/>
        <v>3148790.62</v>
      </c>
      <c r="C34" s="401"/>
      <c r="D34" s="401">
        <v>780852</v>
      </c>
      <c r="E34" s="401">
        <v>1530</v>
      </c>
      <c r="F34" s="401">
        <v>885409.02</v>
      </c>
      <c r="G34" s="401">
        <v>59400</v>
      </c>
      <c r="H34" s="401">
        <v>182650</v>
      </c>
      <c r="I34" s="401">
        <v>30118</v>
      </c>
      <c r="J34" s="401">
        <v>8090</v>
      </c>
      <c r="K34" s="401">
        <v>515225.06</v>
      </c>
      <c r="L34" s="401">
        <v>7027</v>
      </c>
      <c r="M34" s="401">
        <v>40923.300000000003</v>
      </c>
      <c r="N34" s="401">
        <v>637566.24</v>
      </c>
    </row>
    <row r="35" spans="1:14" x14ac:dyDescent="0.25">
      <c r="A35" s="399" t="s">
        <v>22</v>
      </c>
      <c r="B35" s="400">
        <f t="shared" si="5"/>
        <v>304222.05000000005</v>
      </c>
      <c r="C35" s="401"/>
      <c r="D35" s="401"/>
      <c r="E35" s="401">
        <v>5083.1400000000003</v>
      </c>
      <c r="F35" s="401">
        <v>13923.11</v>
      </c>
      <c r="G35" s="401">
        <v>37296.26</v>
      </c>
      <c r="H35" s="401">
        <v>4300</v>
      </c>
      <c r="I35" s="401">
        <v>139202.01</v>
      </c>
      <c r="J35" s="401">
        <v>10750</v>
      </c>
      <c r="K35" s="401">
        <v>12169.86</v>
      </c>
      <c r="L35" s="401">
        <v>12467</v>
      </c>
      <c r="M35" s="401">
        <v>59463.03</v>
      </c>
      <c r="N35" s="401">
        <v>9567.64</v>
      </c>
    </row>
    <row r="36" spans="1:14" x14ac:dyDescent="0.25">
      <c r="A36" s="399" t="s">
        <v>23</v>
      </c>
      <c r="B36" s="400">
        <f t="shared" si="5"/>
        <v>94463366.550000012</v>
      </c>
      <c r="C36" s="401">
        <v>2523500.34</v>
      </c>
      <c r="D36" s="401">
        <v>3109580.2</v>
      </c>
      <c r="E36" s="401">
        <v>2355388.35</v>
      </c>
      <c r="F36" s="401">
        <v>186878.5</v>
      </c>
      <c r="G36" s="401">
        <v>3976104.0799999996</v>
      </c>
      <c r="H36" s="401">
        <v>15565416.189999999</v>
      </c>
      <c r="I36" s="401">
        <v>8095147.2100000009</v>
      </c>
      <c r="J36" s="401">
        <v>16899016.440000001</v>
      </c>
      <c r="K36" s="401">
        <v>4366405.03</v>
      </c>
      <c r="L36" s="401">
        <v>25997278.990000002</v>
      </c>
      <c r="M36" s="401">
        <v>5341917.4800000004</v>
      </c>
      <c r="N36" s="401">
        <v>6046733.7400000002</v>
      </c>
    </row>
    <row r="37" spans="1:14" x14ac:dyDescent="0.25">
      <c r="A37" s="399" t="s">
        <v>39</v>
      </c>
      <c r="B37" s="400">
        <f t="shared" si="5"/>
        <v>0</v>
      </c>
      <c r="C37" s="401"/>
      <c r="D37" s="401"/>
      <c r="E37" s="401"/>
      <c r="F37" s="401"/>
      <c r="G37" s="401"/>
      <c r="H37" s="401"/>
      <c r="I37" s="401"/>
      <c r="J37" s="401"/>
      <c r="K37" s="401"/>
      <c r="L37" s="401"/>
      <c r="M37" s="401"/>
      <c r="N37" s="401"/>
    </row>
    <row r="38" spans="1:14" x14ac:dyDescent="0.25">
      <c r="A38" s="399" t="s">
        <v>24</v>
      </c>
      <c r="B38" s="400">
        <f t="shared" si="5"/>
        <v>243315713.68600002</v>
      </c>
      <c r="C38" s="401">
        <v>4893365.0600000015</v>
      </c>
      <c r="D38" s="401">
        <v>22840639.900000002</v>
      </c>
      <c r="E38" s="401">
        <v>17519859.010000002</v>
      </c>
      <c r="F38" s="401">
        <v>15285609.959999999</v>
      </c>
      <c r="G38" s="401">
        <v>20400038.760000005</v>
      </c>
      <c r="H38" s="401">
        <v>15454626.210000001</v>
      </c>
      <c r="I38" s="401">
        <v>30237646.149999999</v>
      </c>
      <c r="J38" s="401">
        <v>15803976.660000002</v>
      </c>
      <c r="K38" s="401">
        <v>37695776.57</v>
      </c>
      <c r="L38" s="401">
        <v>17613954.599999998</v>
      </c>
      <c r="M38" s="401">
        <v>29203918.846000008</v>
      </c>
      <c r="N38" s="401">
        <v>16366301.960000008</v>
      </c>
    </row>
    <row r="39" spans="1:14" x14ac:dyDescent="0.25">
      <c r="A39" s="396" t="s">
        <v>25</v>
      </c>
      <c r="B39" s="397">
        <f>SUM(C39:N39)</f>
        <v>639759.24</v>
      </c>
      <c r="C39" s="398">
        <f>SUM(C40:C46)</f>
        <v>0</v>
      </c>
      <c r="D39" s="398">
        <f t="shared" ref="D39:N39" si="6">SUM(D40:D46)</f>
        <v>0</v>
      </c>
      <c r="E39" s="398">
        <f t="shared" si="6"/>
        <v>0</v>
      </c>
      <c r="F39" s="398">
        <f t="shared" si="6"/>
        <v>5000</v>
      </c>
      <c r="G39" s="398">
        <f t="shared" si="6"/>
        <v>0</v>
      </c>
      <c r="H39" s="398">
        <f t="shared" si="6"/>
        <v>267509.24</v>
      </c>
      <c r="I39" s="398">
        <f t="shared" si="6"/>
        <v>0</v>
      </c>
      <c r="J39" s="398">
        <f t="shared" si="6"/>
        <v>172500</v>
      </c>
      <c r="K39" s="398">
        <f t="shared" si="6"/>
        <v>0</v>
      </c>
      <c r="L39" s="398">
        <f t="shared" si="6"/>
        <v>8000</v>
      </c>
      <c r="M39" s="398">
        <f t="shared" si="6"/>
        <v>14250</v>
      </c>
      <c r="N39" s="398">
        <f t="shared" si="6"/>
        <v>172500</v>
      </c>
    </row>
    <row r="40" spans="1:14" x14ac:dyDescent="0.25">
      <c r="A40" s="399" t="s">
        <v>26</v>
      </c>
      <c r="B40" s="400">
        <f>SUM(C40:N40)</f>
        <v>639759.24</v>
      </c>
      <c r="C40" s="401"/>
      <c r="D40" s="401"/>
      <c r="E40" s="401"/>
      <c r="F40" s="401">
        <v>5000</v>
      </c>
      <c r="G40" s="401"/>
      <c r="H40" s="401">
        <v>267509.24</v>
      </c>
      <c r="I40" s="401"/>
      <c r="J40" s="401">
        <v>172500</v>
      </c>
      <c r="K40" s="401"/>
      <c r="L40" s="401">
        <v>8000</v>
      </c>
      <c r="M40" s="401">
        <v>14250</v>
      </c>
      <c r="N40" s="401">
        <v>172500</v>
      </c>
    </row>
    <row r="41" spans="1:14" x14ac:dyDescent="0.25">
      <c r="A41" s="399" t="s">
        <v>40</v>
      </c>
      <c r="B41" s="400">
        <f t="shared" ref="B41:B46" si="7">SUM(C41:N41)</f>
        <v>0</v>
      </c>
      <c r="C41" s="401"/>
      <c r="D41" s="401"/>
      <c r="E41" s="401"/>
      <c r="F41" s="401"/>
      <c r="G41" s="401"/>
      <c r="H41" s="401"/>
      <c r="I41" s="401"/>
      <c r="J41" s="401"/>
      <c r="K41" s="401"/>
      <c r="L41" s="401"/>
      <c r="M41" s="401"/>
      <c r="N41" s="401"/>
    </row>
    <row r="42" spans="1:14" x14ac:dyDescent="0.25">
      <c r="A42" s="399" t="s">
        <v>41</v>
      </c>
      <c r="B42" s="400">
        <f t="shared" si="7"/>
        <v>0</v>
      </c>
      <c r="C42" s="401"/>
      <c r="D42" s="401"/>
      <c r="E42" s="401"/>
      <c r="F42" s="401"/>
      <c r="G42" s="401"/>
      <c r="H42" s="401"/>
      <c r="I42" s="401"/>
      <c r="J42" s="401"/>
      <c r="K42" s="401"/>
      <c r="L42" s="401"/>
      <c r="M42" s="401"/>
      <c r="N42" s="401"/>
    </row>
    <row r="43" spans="1:14" x14ac:dyDescent="0.25">
      <c r="A43" s="399" t="s">
        <v>42</v>
      </c>
      <c r="B43" s="400">
        <f t="shared" si="7"/>
        <v>0</v>
      </c>
      <c r="C43" s="401"/>
      <c r="D43" s="401"/>
      <c r="E43" s="401"/>
      <c r="F43" s="401"/>
      <c r="G43" s="401"/>
      <c r="H43" s="401"/>
      <c r="I43" s="401"/>
      <c r="J43" s="401"/>
      <c r="K43" s="401"/>
      <c r="L43" s="401"/>
      <c r="M43" s="401"/>
      <c r="N43" s="401"/>
    </row>
    <row r="44" spans="1:14" x14ac:dyDescent="0.25">
      <c r="A44" s="399" t="s">
        <v>43</v>
      </c>
      <c r="B44" s="400">
        <f t="shared" si="7"/>
        <v>0</v>
      </c>
      <c r="C44" s="401"/>
      <c r="D44" s="401"/>
      <c r="E44" s="401"/>
      <c r="F44" s="401"/>
      <c r="G44" s="401"/>
      <c r="H44" s="401"/>
      <c r="I44" s="401"/>
      <c r="J44" s="401"/>
      <c r="K44" s="401"/>
      <c r="L44" s="401"/>
      <c r="M44" s="401"/>
      <c r="N44" s="401"/>
    </row>
    <row r="45" spans="1:14" x14ac:dyDescent="0.25">
      <c r="A45" s="399" t="s">
        <v>27</v>
      </c>
      <c r="B45" s="400">
        <f t="shared" si="7"/>
        <v>0</v>
      </c>
      <c r="C45" s="401"/>
      <c r="D45" s="401"/>
      <c r="E45" s="401"/>
      <c r="F45" s="401"/>
      <c r="G45" s="401"/>
      <c r="H45" s="401"/>
      <c r="I45" s="401"/>
      <c r="J45" s="401"/>
      <c r="K45" s="401"/>
      <c r="L45" s="401"/>
      <c r="M45" s="401"/>
      <c r="N45" s="401"/>
    </row>
    <row r="46" spans="1:14" x14ac:dyDescent="0.25">
      <c r="A46" s="399" t="s">
        <v>44</v>
      </c>
      <c r="B46" s="400">
        <f t="shared" si="7"/>
        <v>0</v>
      </c>
      <c r="C46" s="401"/>
      <c r="D46" s="401"/>
      <c r="E46" s="401"/>
      <c r="F46" s="401"/>
      <c r="G46" s="401"/>
      <c r="H46" s="401"/>
      <c r="I46" s="401"/>
      <c r="J46" s="401"/>
      <c r="K46" s="401"/>
      <c r="L46" s="401"/>
      <c r="M46" s="401"/>
      <c r="N46" s="401"/>
    </row>
    <row r="47" spans="1:14" x14ac:dyDescent="0.25">
      <c r="A47" s="396" t="s">
        <v>45</v>
      </c>
      <c r="B47" s="397">
        <f>SUM(C47:N47)</f>
        <v>0</v>
      </c>
      <c r="C47" s="398">
        <f>SUM(C48:C54)</f>
        <v>0</v>
      </c>
      <c r="D47" s="398">
        <f t="shared" ref="D47:N47" si="8">SUM(D48:D54)</f>
        <v>0</v>
      </c>
      <c r="E47" s="398">
        <f t="shared" si="8"/>
        <v>0</v>
      </c>
      <c r="F47" s="398">
        <f t="shared" si="8"/>
        <v>0</v>
      </c>
      <c r="G47" s="398">
        <f t="shared" si="8"/>
        <v>0</v>
      </c>
      <c r="H47" s="398">
        <f t="shared" si="8"/>
        <v>0</v>
      </c>
      <c r="I47" s="398">
        <f t="shared" si="8"/>
        <v>0</v>
      </c>
      <c r="J47" s="398">
        <f t="shared" si="8"/>
        <v>0</v>
      </c>
      <c r="K47" s="398">
        <f t="shared" si="8"/>
        <v>0</v>
      </c>
      <c r="L47" s="398">
        <f t="shared" si="8"/>
        <v>0</v>
      </c>
      <c r="M47" s="398">
        <f t="shared" si="8"/>
        <v>0</v>
      </c>
      <c r="N47" s="398">
        <f t="shared" si="8"/>
        <v>0</v>
      </c>
    </row>
    <row r="48" spans="1:14" x14ac:dyDescent="0.25">
      <c r="A48" s="399" t="s">
        <v>46</v>
      </c>
      <c r="B48" s="400">
        <f t="shared" ref="B48:B53" si="9">SUM(C48:N48)</f>
        <v>0</v>
      </c>
      <c r="C48" s="401"/>
      <c r="D48" s="401"/>
      <c r="E48" s="401"/>
      <c r="F48" s="401"/>
      <c r="G48" s="401"/>
      <c r="H48" s="401"/>
      <c r="I48" s="401"/>
      <c r="J48" s="401"/>
      <c r="K48" s="401"/>
      <c r="L48" s="401"/>
      <c r="M48" s="401"/>
      <c r="N48" s="401"/>
    </row>
    <row r="49" spans="1:14" x14ac:dyDescent="0.25">
      <c r="A49" s="399" t="s">
        <v>47</v>
      </c>
      <c r="B49" s="400">
        <f t="shared" si="9"/>
        <v>0</v>
      </c>
      <c r="C49" s="401"/>
      <c r="D49" s="401"/>
      <c r="E49" s="401"/>
      <c r="F49" s="401"/>
      <c r="G49" s="401"/>
      <c r="H49" s="401"/>
      <c r="I49" s="401"/>
      <c r="J49" s="401"/>
      <c r="K49" s="401"/>
      <c r="L49" s="401"/>
      <c r="M49" s="401"/>
      <c r="N49" s="401"/>
    </row>
    <row r="50" spans="1:14" x14ac:dyDescent="0.25">
      <c r="A50" s="399" t="s">
        <v>48</v>
      </c>
      <c r="B50" s="400">
        <f t="shared" si="9"/>
        <v>0</v>
      </c>
      <c r="C50" s="401"/>
      <c r="D50" s="401"/>
      <c r="E50" s="401"/>
      <c r="F50" s="401"/>
      <c r="G50" s="401"/>
      <c r="H50" s="401"/>
      <c r="I50" s="401"/>
      <c r="J50" s="401"/>
      <c r="K50" s="401"/>
      <c r="L50" s="401"/>
      <c r="M50" s="401"/>
      <c r="N50" s="401"/>
    </row>
    <row r="51" spans="1:14" x14ac:dyDescent="0.25">
      <c r="A51" s="399" t="s">
        <v>49</v>
      </c>
      <c r="B51" s="400">
        <f t="shared" si="9"/>
        <v>0</v>
      </c>
      <c r="C51" s="401"/>
      <c r="D51" s="401"/>
      <c r="E51" s="401"/>
      <c r="F51" s="401"/>
      <c r="G51" s="401"/>
      <c r="H51" s="401"/>
      <c r="I51" s="401"/>
      <c r="J51" s="401"/>
      <c r="K51" s="401"/>
      <c r="L51" s="401"/>
      <c r="M51" s="401"/>
      <c r="N51" s="401"/>
    </row>
    <row r="52" spans="1:14" x14ac:dyDescent="0.25">
      <c r="A52" s="399" t="s">
        <v>50</v>
      </c>
      <c r="B52" s="400">
        <f t="shared" si="9"/>
        <v>0</v>
      </c>
      <c r="C52" s="401"/>
      <c r="D52" s="401"/>
      <c r="E52" s="401"/>
      <c r="F52" s="401"/>
      <c r="G52" s="401"/>
      <c r="H52" s="401"/>
      <c r="I52" s="401"/>
      <c r="J52" s="401"/>
      <c r="K52" s="401"/>
      <c r="L52" s="401"/>
      <c r="M52" s="401"/>
      <c r="N52" s="401"/>
    </row>
    <row r="53" spans="1:14" x14ac:dyDescent="0.25">
      <c r="A53" s="399" t="s">
        <v>51</v>
      </c>
      <c r="B53" s="400">
        <f t="shared" si="9"/>
        <v>0</v>
      </c>
      <c r="C53" s="401"/>
      <c r="D53" s="401"/>
      <c r="E53" s="401"/>
      <c r="F53" s="401"/>
      <c r="G53" s="401"/>
      <c r="H53" s="401"/>
      <c r="I53" s="401"/>
      <c r="J53" s="401"/>
      <c r="K53" s="401"/>
      <c r="L53" s="401"/>
      <c r="M53" s="401"/>
      <c r="N53" s="401"/>
    </row>
    <row r="54" spans="1:14" x14ac:dyDescent="0.25">
      <c r="A54" s="399" t="s">
        <v>52</v>
      </c>
      <c r="B54" s="400">
        <f>SUM(C54:N54)</f>
        <v>0</v>
      </c>
      <c r="C54" s="401"/>
      <c r="D54" s="401"/>
      <c r="E54" s="401"/>
      <c r="F54" s="401"/>
      <c r="G54" s="401"/>
      <c r="H54" s="401"/>
      <c r="I54" s="401"/>
      <c r="J54" s="401"/>
      <c r="K54" s="401"/>
      <c r="L54" s="401"/>
      <c r="M54" s="401"/>
      <c r="N54" s="401"/>
    </row>
    <row r="55" spans="1:14" x14ac:dyDescent="0.25">
      <c r="A55" s="396" t="s">
        <v>28</v>
      </c>
      <c r="B55" s="397">
        <f>SUM(C55:N55)</f>
        <v>17773409.710000001</v>
      </c>
      <c r="C55" s="398">
        <f>SUM(C56:C64)</f>
        <v>1038618.3</v>
      </c>
      <c r="D55" s="398">
        <f t="shared" ref="D55:N55" si="10">SUM(D56:D64)</f>
        <v>3813988.73</v>
      </c>
      <c r="E55" s="398">
        <f t="shared" si="10"/>
        <v>724180.75</v>
      </c>
      <c r="F55" s="398">
        <f t="shared" si="10"/>
        <v>0</v>
      </c>
      <c r="G55" s="398">
        <f t="shared" si="10"/>
        <v>1089242.77</v>
      </c>
      <c r="H55" s="398">
        <f t="shared" si="10"/>
        <v>1545679.1</v>
      </c>
      <c r="I55" s="398">
        <f t="shared" si="10"/>
        <v>3267755.2199999997</v>
      </c>
      <c r="J55" s="398">
        <f t="shared" si="10"/>
        <v>236468.94</v>
      </c>
      <c r="K55" s="398">
        <f t="shared" si="10"/>
        <v>415162.94</v>
      </c>
      <c r="L55" s="398">
        <f t="shared" si="10"/>
        <v>484111.35999999999</v>
      </c>
      <c r="M55" s="398">
        <f t="shared" si="10"/>
        <v>1686274.27</v>
      </c>
      <c r="N55" s="398">
        <f t="shared" si="10"/>
        <v>3471927.33</v>
      </c>
    </row>
    <row r="56" spans="1:14" x14ac:dyDescent="0.25">
      <c r="A56" s="399" t="s">
        <v>29</v>
      </c>
      <c r="B56" s="400">
        <f t="shared" ref="B56:B64" si="11">SUM(C56:N56)</f>
        <v>4707819.3900000006</v>
      </c>
      <c r="C56" s="401">
        <v>1038618.3</v>
      </c>
      <c r="D56" s="401">
        <v>241640</v>
      </c>
      <c r="E56" s="401"/>
      <c r="F56" s="401"/>
      <c r="G56" s="401">
        <v>238176.03999999998</v>
      </c>
      <c r="H56" s="401">
        <v>520252</v>
      </c>
      <c r="I56" s="401">
        <v>675060.32</v>
      </c>
      <c r="J56" s="401">
        <v>85799.99</v>
      </c>
      <c r="K56" s="401">
        <v>415162.94</v>
      </c>
      <c r="L56" s="401">
        <v>3262.36</v>
      </c>
      <c r="M56" s="401">
        <v>857910.24</v>
      </c>
      <c r="N56" s="401">
        <v>631937.19999999995</v>
      </c>
    </row>
    <row r="57" spans="1:14" x14ac:dyDescent="0.25">
      <c r="A57" s="399" t="s">
        <v>30</v>
      </c>
      <c r="B57" s="400">
        <f t="shared" si="11"/>
        <v>0</v>
      </c>
      <c r="C57" s="401"/>
      <c r="D57" s="401"/>
      <c r="E57" s="401"/>
      <c r="F57" s="401"/>
      <c r="G57" s="401"/>
      <c r="H57" s="401"/>
      <c r="I57" s="401"/>
      <c r="J57" s="401"/>
      <c r="K57" s="401"/>
      <c r="L57" s="401"/>
      <c r="M57" s="401"/>
      <c r="N57" s="401"/>
    </row>
    <row r="58" spans="1:14" x14ac:dyDescent="0.25">
      <c r="A58" s="399" t="s">
        <v>31</v>
      </c>
      <c r="B58" s="400">
        <f t="shared" si="11"/>
        <v>5674906.2800000003</v>
      </c>
      <c r="C58" s="401"/>
      <c r="D58" s="401">
        <v>350999.99</v>
      </c>
      <c r="E58" s="401"/>
      <c r="F58" s="401"/>
      <c r="G58" s="401"/>
      <c r="H58" s="401">
        <v>1025427.1</v>
      </c>
      <c r="I58" s="401">
        <v>2412694.16</v>
      </c>
      <c r="J58" s="401">
        <v>11820</v>
      </c>
      <c r="K58" s="401"/>
      <c r="L58" s="401">
        <v>825</v>
      </c>
      <c r="M58" s="401"/>
      <c r="N58" s="401">
        <v>1873140.03</v>
      </c>
    </row>
    <row r="59" spans="1:14" x14ac:dyDescent="0.25">
      <c r="A59" s="399" t="s">
        <v>32</v>
      </c>
      <c r="B59" s="400">
        <f t="shared" si="11"/>
        <v>0</v>
      </c>
      <c r="C59" s="401"/>
      <c r="D59" s="401"/>
      <c r="E59" s="401"/>
      <c r="F59" s="401"/>
      <c r="G59" s="401"/>
      <c r="H59" s="401"/>
      <c r="I59" s="401"/>
      <c r="J59" s="401"/>
      <c r="K59" s="401"/>
      <c r="L59" s="401"/>
      <c r="M59" s="401"/>
      <c r="N59" s="401"/>
    </row>
    <row r="60" spans="1:14" x14ac:dyDescent="0.25">
      <c r="A60" s="399" t="s">
        <v>33</v>
      </c>
      <c r="B60" s="400">
        <f t="shared" si="11"/>
        <v>3871229.35</v>
      </c>
      <c r="C60" s="401"/>
      <c r="D60" s="401">
        <v>2370282.0099999998</v>
      </c>
      <c r="E60" s="401"/>
      <c r="F60" s="401"/>
      <c r="G60" s="401"/>
      <c r="H60" s="401"/>
      <c r="I60" s="401">
        <v>180000.74</v>
      </c>
      <c r="J60" s="401">
        <v>138848.95000000001</v>
      </c>
      <c r="K60" s="401"/>
      <c r="L60" s="401">
        <v>480024</v>
      </c>
      <c r="M60" s="401">
        <v>585223.55000000005</v>
      </c>
      <c r="N60" s="401">
        <v>116850.1</v>
      </c>
    </row>
    <row r="61" spans="1:14" x14ac:dyDescent="0.25">
      <c r="A61" s="399" t="s">
        <v>53</v>
      </c>
      <c r="B61" s="400">
        <f t="shared" si="11"/>
        <v>1702133.46</v>
      </c>
      <c r="C61" s="401"/>
      <c r="D61" s="401">
        <v>851066.73</v>
      </c>
      <c r="E61" s="401"/>
      <c r="F61" s="401"/>
      <c r="G61" s="401">
        <v>851066.73</v>
      </c>
      <c r="H61" s="401"/>
      <c r="I61" s="401"/>
      <c r="J61" s="401"/>
      <c r="K61" s="401"/>
      <c r="L61" s="401"/>
      <c r="M61" s="401"/>
      <c r="N61" s="401"/>
    </row>
    <row r="62" spans="1:14" x14ac:dyDescent="0.25">
      <c r="A62" s="399" t="s">
        <v>54</v>
      </c>
      <c r="B62" s="400">
        <f t="shared" si="11"/>
        <v>0</v>
      </c>
      <c r="C62" s="401"/>
      <c r="D62" s="401"/>
      <c r="E62" s="401"/>
      <c r="F62" s="401"/>
      <c r="G62" s="401"/>
      <c r="H62" s="401"/>
      <c r="I62" s="401"/>
      <c r="J62" s="401"/>
      <c r="K62" s="401"/>
      <c r="L62" s="401"/>
      <c r="M62" s="401"/>
      <c r="N62" s="401"/>
    </row>
    <row r="63" spans="1:14" x14ac:dyDescent="0.25">
      <c r="A63" s="399" t="s">
        <v>34</v>
      </c>
      <c r="B63" s="400">
        <f t="shared" si="11"/>
        <v>1817321.23</v>
      </c>
      <c r="C63" s="401"/>
      <c r="D63" s="401"/>
      <c r="E63" s="401">
        <v>724180.75</v>
      </c>
      <c r="F63" s="401"/>
      <c r="G63" s="401"/>
      <c r="H63" s="401"/>
      <c r="I63" s="401"/>
      <c r="J63" s="401"/>
      <c r="K63" s="401"/>
      <c r="L63" s="401"/>
      <c r="M63" s="401">
        <v>243140.48000000001</v>
      </c>
      <c r="N63" s="401">
        <v>850000</v>
      </c>
    </row>
    <row r="64" spans="1:14" x14ac:dyDescent="0.25">
      <c r="A64" s="399" t="s">
        <v>55</v>
      </c>
      <c r="B64" s="400">
        <f t="shared" si="11"/>
        <v>0</v>
      </c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</row>
    <row r="65" spans="1:14" x14ac:dyDescent="0.25">
      <c r="A65" s="396" t="s">
        <v>56</v>
      </c>
      <c r="B65" s="397">
        <f>SUM(C65:N65)</f>
        <v>0</v>
      </c>
      <c r="C65" s="398">
        <f>SUM(C66:C69)</f>
        <v>0</v>
      </c>
      <c r="D65" s="398">
        <f t="shared" ref="D65:N65" si="12">SUM(D66:D69)</f>
        <v>0</v>
      </c>
      <c r="E65" s="398">
        <f t="shared" si="12"/>
        <v>0</v>
      </c>
      <c r="F65" s="398">
        <f t="shared" si="12"/>
        <v>0</v>
      </c>
      <c r="G65" s="398">
        <f t="shared" si="12"/>
        <v>0</v>
      </c>
      <c r="H65" s="398">
        <f t="shared" si="12"/>
        <v>0</v>
      </c>
      <c r="I65" s="398">
        <f t="shared" si="12"/>
        <v>0</v>
      </c>
      <c r="J65" s="398">
        <f t="shared" si="12"/>
        <v>0</v>
      </c>
      <c r="K65" s="398">
        <f t="shared" si="12"/>
        <v>0</v>
      </c>
      <c r="L65" s="398">
        <f t="shared" si="12"/>
        <v>0</v>
      </c>
      <c r="M65" s="398">
        <f t="shared" si="12"/>
        <v>0</v>
      </c>
      <c r="N65" s="398">
        <f t="shared" si="12"/>
        <v>0</v>
      </c>
    </row>
    <row r="66" spans="1:14" x14ac:dyDescent="0.25">
      <c r="A66" s="399" t="s">
        <v>57</v>
      </c>
      <c r="B66" s="400">
        <f t="shared" ref="B66:B69" si="13">SUM(C66:N66)</f>
        <v>0</v>
      </c>
      <c r="C66" s="401"/>
      <c r="D66" s="401"/>
      <c r="E66" s="401"/>
      <c r="F66" s="401"/>
      <c r="G66" s="401"/>
      <c r="H66" s="401"/>
      <c r="I66" s="401"/>
      <c r="J66" s="401"/>
      <c r="K66" s="401"/>
      <c r="L66" s="401"/>
      <c r="M66" s="401"/>
      <c r="N66" s="401"/>
    </row>
    <row r="67" spans="1:14" x14ac:dyDescent="0.25">
      <c r="A67" s="399" t="s">
        <v>58</v>
      </c>
      <c r="B67" s="400">
        <f t="shared" si="13"/>
        <v>0</v>
      </c>
      <c r="C67" s="401"/>
      <c r="D67" s="401"/>
      <c r="E67" s="401"/>
      <c r="F67" s="401"/>
      <c r="G67" s="401"/>
      <c r="H67" s="401"/>
      <c r="I67" s="401"/>
      <c r="J67" s="401"/>
      <c r="K67" s="401"/>
      <c r="L67" s="401"/>
      <c r="M67" s="401"/>
      <c r="N67" s="401"/>
    </row>
    <row r="68" spans="1:14" x14ac:dyDescent="0.25">
      <c r="A68" s="399" t="s">
        <v>59</v>
      </c>
      <c r="B68" s="400">
        <f t="shared" si="13"/>
        <v>0</v>
      </c>
      <c r="C68" s="401"/>
      <c r="D68" s="401"/>
      <c r="E68" s="401"/>
      <c r="F68" s="401"/>
      <c r="G68" s="401"/>
      <c r="H68" s="401"/>
      <c r="I68" s="401"/>
      <c r="J68" s="401"/>
      <c r="K68" s="401"/>
      <c r="L68" s="401"/>
      <c r="M68" s="401"/>
      <c r="N68" s="401"/>
    </row>
    <row r="69" spans="1:14" x14ac:dyDescent="0.25">
      <c r="A69" s="399" t="s">
        <v>60</v>
      </c>
      <c r="B69" s="400">
        <f t="shared" si="13"/>
        <v>0</v>
      </c>
      <c r="C69" s="401"/>
      <c r="D69" s="401"/>
      <c r="E69" s="401"/>
      <c r="F69" s="401"/>
      <c r="G69" s="401"/>
      <c r="H69" s="401"/>
      <c r="I69" s="401"/>
      <c r="J69" s="401"/>
      <c r="K69" s="401"/>
      <c r="L69" s="401"/>
      <c r="M69" s="401"/>
      <c r="N69" s="401"/>
    </row>
    <row r="70" spans="1:14" x14ac:dyDescent="0.25">
      <c r="A70" s="396" t="s">
        <v>61</v>
      </c>
      <c r="B70" s="397">
        <f>SUM(C70:N70)</f>
        <v>0</v>
      </c>
      <c r="C70" s="398">
        <f>SUM(C71:C72)</f>
        <v>0</v>
      </c>
      <c r="D70" s="398">
        <f t="shared" ref="D70:N70" si="14">SUM(D71:D72)</f>
        <v>0</v>
      </c>
      <c r="E70" s="398">
        <f t="shared" si="14"/>
        <v>0</v>
      </c>
      <c r="F70" s="398">
        <f t="shared" si="14"/>
        <v>0</v>
      </c>
      <c r="G70" s="398">
        <f t="shared" si="14"/>
        <v>0</v>
      </c>
      <c r="H70" s="398">
        <f t="shared" si="14"/>
        <v>0</v>
      </c>
      <c r="I70" s="398">
        <f t="shared" si="14"/>
        <v>0</v>
      </c>
      <c r="J70" s="398">
        <f t="shared" si="14"/>
        <v>0</v>
      </c>
      <c r="K70" s="398">
        <f t="shared" si="14"/>
        <v>0</v>
      </c>
      <c r="L70" s="398">
        <f t="shared" si="14"/>
        <v>0</v>
      </c>
      <c r="M70" s="398">
        <f t="shared" si="14"/>
        <v>0</v>
      </c>
      <c r="N70" s="398">
        <f t="shared" si="14"/>
        <v>0</v>
      </c>
    </row>
    <row r="71" spans="1:14" x14ac:dyDescent="0.25">
      <c r="A71" s="399" t="s">
        <v>62</v>
      </c>
      <c r="B71" s="400">
        <f t="shared" ref="B71:B72" si="15">SUM(C71:N71)</f>
        <v>0</v>
      </c>
      <c r="C71" s="401"/>
      <c r="D71" s="401"/>
      <c r="E71" s="401"/>
      <c r="F71" s="401"/>
      <c r="G71" s="401"/>
      <c r="H71" s="401"/>
      <c r="I71" s="401"/>
      <c r="J71" s="401"/>
      <c r="K71" s="401"/>
      <c r="L71" s="401"/>
      <c r="M71" s="401"/>
      <c r="N71" s="401"/>
    </row>
    <row r="72" spans="1:14" x14ac:dyDescent="0.25">
      <c r="A72" s="399" t="s">
        <v>63</v>
      </c>
      <c r="B72" s="400">
        <f t="shared" si="15"/>
        <v>0</v>
      </c>
      <c r="C72" s="401"/>
      <c r="D72" s="401"/>
      <c r="E72" s="401"/>
      <c r="F72" s="401"/>
      <c r="G72" s="401"/>
      <c r="H72" s="401"/>
      <c r="I72" s="401"/>
      <c r="J72" s="401"/>
      <c r="K72" s="401"/>
      <c r="L72" s="401"/>
      <c r="M72" s="401"/>
      <c r="N72" s="401"/>
    </row>
    <row r="73" spans="1:14" x14ac:dyDescent="0.25">
      <c r="A73" s="396" t="s">
        <v>64</v>
      </c>
      <c r="B73" s="397">
        <f>SUM(C73:N73)</f>
        <v>0</v>
      </c>
      <c r="C73" s="398">
        <f>SUM(C74:C76)</f>
        <v>0</v>
      </c>
      <c r="D73" s="398">
        <f t="shared" ref="D73:N73" si="16">SUM(D74:D76)</f>
        <v>0</v>
      </c>
      <c r="E73" s="398">
        <f t="shared" si="16"/>
        <v>0</v>
      </c>
      <c r="F73" s="398">
        <f t="shared" si="16"/>
        <v>0</v>
      </c>
      <c r="G73" s="398">
        <f t="shared" si="16"/>
        <v>0</v>
      </c>
      <c r="H73" s="398">
        <f t="shared" si="16"/>
        <v>0</v>
      </c>
      <c r="I73" s="398">
        <f t="shared" si="16"/>
        <v>0</v>
      </c>
      <c r="J73" s="398">
        <f t="shared" si="16"/>
        <v>0</v>
      </c>
      <c r="K73" s="398">
        <f t="shared" si="16"/>
        <v>0</v>
      </c>
      <c r="L73" s="398">
        <f t="shared" si="16"/>
        <v>0</v>
      </c>
      <c r="M73" s="398">
        <f t="shared" si="16"/>
        <v>0</v>
      </c>
      <c r="N73" s="398">
        <f t="shared" si="16"/>
        <v>0</v>
      </c>
    </row>
    <row r="74" spans="1:14" x14ac:dyDescent="0.25">
      <c r="A74" s="399" t="s">
        <v>65</v>
      </c>
      <c r="B74" s="400">
        <f t="shared" ref="B74:B76" si="17">SUM(C74:N74)</f>
        <v>0</v>
      </c>
      <c r="C74" s="401"/>
      <c r="D74" s="401"/>
      <c r="E74" s="401"/>
      <c r="F74" s="401"/>
      <c r="G74" s="401"/>
      <c r="H74" s="401"/>
      <c r="I74" s="401"/>
      <c r="J74" s="401"/>
      <c r="K74" s="401"/>
      <c r="L74" s="401"/>
      <c r="M74" s="401"/>
      <c r="N74" s="401"/>
    </row>
    <row r="75" spans="1:14" x14ac:dyDescent="0.25">
      <c r="A75" s="399" t="s">
        <v>66</v>
      </c>
      <c r="B75" s="400">
        <f t="shared" si="17"/>
        <v>0</v>
      </c>
      <c r="C75" s="401"/>
      <c r="D75" s="401"/>
      <c r="E75" s="401"/>
      <c r="F75" s="401"/>
      <c r="G75" s="401"/>
      <c r="H75" s="401"/>
      <c r="I75" s="401"/>
      <c r="J75" s="401"/>
      <c r="K75" s="401"/>
      <c r="L75" s="401"/>
      <c r="M75" s="401"/>
      <c r="N75" s="401"/>
    </row>
    <row r="76" spans="1:14" x14ac:dyDescent="0.25">
      <c r="A76" s="399" t="s">
        <v>67</v>
      </c>
      <c r="B76" s="400">
        <f t="shared" si="17"/>
        <v>0</v>
      </c>
      <c r="C76" s="401"/>
      <c r="D76" s="401"/>
      <c r="E76" s="401"/>
      <c r="F76" s="401"/>
      <c r="G76" s="401"/>
      <c r="H76" s="401"/>
      <c r="I76" s="401"/>
      <c r="J76" s="401"/>
      <c r="K76" s="401"/>
      <c r="L76" s="401"/>
      <c r="M76" s="401"/>
      <c r="N76" s="401"/>
    </row>
    <row r="77" spans="1:14" x14ac:dyDescent="0.25">
      <c r="A77" s="402" t="s">
        <v>35</v>
      </c>
      <c r="B77" s="403">
        <f>B13+B19+B29+B39+B47+B55+B65+B70+B73</f>
        <v>986410721.60699987</v>
      </c>
      <c r="C77" s="403">
        <f t="shared" ref="C77:N77" si="18">C13+C19+C29+C39+C47+C55+C65+C70+C73</f>
        <v>37294017.25</v>
      </c>
      <c r="D77" s="403">
        <f t="shared" si="18"/>
        <v>74551541.100000009</v>
      </c>
      <c r="E77" s="403">
        <f t="shared" si="18"/>
        <v>90482835.530000001</v>
      </c>
      <c r="F77" s="403">
        <f t="shared" si="18"/>
        <v>55112672.529999994</v>
      </c>
      <c r="G77" s="403">
        <f t="shared" si="18"/>
        <v>60435635.800000012</v>
      </c>
      <c r="H77" s="403">
        <f t="shared" si="18"/>
        <v>53590751.950000003</v>
      </c>
      <c r="I77" s="403">
        <f t="shared" si="18"/>
        <v>124884570.67</v>
      </c>
      <c r="J77" s="403">
        <f t="shared" si="18"/>
        <v>77461776.590999991</v>
      </c>
      <c r="K77" s="403">
        <f t="shared" si="18"/>
        <v>96002447.460000008</v>
      </c>
      <c r="L77" s="403">
        <f t="shared" si="18"/>
        <v>117268623.18000001</v>
      </c>
      <c r="M77" s="403">
        <f t="shared" si="18"/>
        <v>84170700.746000007</v>
      </c>
      <c r="N77" s="403">
        <f t="shared" si="18"/>
        <v>115155148.80000001</v>
      </c>
    </row>
    <row r="78" spans="1:14" x14ac:dyDescent="0.25">
      <c r="A78" s="394" t="s">
        <v>68</v>
      </c>
      <c r="B78" s="404"/>
      <c r="C78" s="404"/>
      <c r="D78" s="404"/>
      <c r="E78" s="404"/>
      <c r="F78" s="404"/>
      <c r="G78" s="404"/>
      <c r="H78" s="404"/>
      <c r="I78" s="404"/>
      <c r="J78" s="404"/>
      <c r="K78" s="404"/>
      <c r="L78" s="404"/>
      <c r="M78" s="404"/>
      <c r="N78" s="404"/>
    </row>
    <row r="79" spans="1:14" x14ac:dyDescent="0.25">
      <c r="A79" s="394" t="s">
        <v>69</v>
      </c>
      <c r="B79" s="405"/>
      <c r="C79" s="404"/>
      <c r="D79" s="405"/>
      <c r="E79" s="405"/>
      <c r="F79" s="405"/>
      <c r="G79" s="405"/>
      <c r="H79" s="405"/>
      <c r="I79" s="405"/>
      <c r="J79" s="405"/>
      <c r="K79" s="405"/>
      <c r="L79" s="405"/>
      <c r="M79" s="405"/>
      <c r="N79" s="405"/>
    </row>
    <row r="80" spans="1:14" x14ac:dyDescent="0.25">
      <c r="A80" s="399" t="s">
        <v>70</v>
      </c>
      <c r="B80" s="405"/>
      <c r="C80" s="401"/>
      <c r="D80" s="405"/>
      <c r="E80" s="405"/>
      <c r="F80" s="405"/>
      <c r="G80" s="405"/>
      <c r="H80" s="405"/>
      <c r="I80" s="405"/>
      <c r="J80" s="405"/>
      <c r="K80" s="405"/>
      <c r="L80" s="405"/>
      <c r="M80" s="405"/>
      <c r="N80" s="405"/>
    </row>
    <row r="81" spans="1:14" x14ac:dyDescent="0.25">
      <c r="A81" s="399" t="s">
        <v>71</v>
      </c>
      <c r="B81" s="405"/>
      <c r="C81" s="401"/>
      <c r="D81" s="405"/>
      <c r="E81" s="405"/>
      <c r="F81" s="405"/>
      <c r="G81" s="405"/>
      <c r="H81" s="405"/>
      <c r="I81" s="405"/>
      <c r="J81" s="405"/>
      <c r="K81" s="405"/>
      <c r="L81" s="405"/>
      <c r="M81" s="405"/>
      <c r="N81" s="405"/>
    </row>
    <row r="82" spans="1:14" x14ac:dyDescent="0.25">
      <c r="A82" s="394" t="s">
        <v>72</v>
      </c>
      <c r="B82" s="405"/>
      <c r="C82" s="404"/>
      <c r="D82" s="405"/>
      <c r="E82" s="405"/>
      <c r="F82" s="405"/>
      <c r="G82" s="405"/>
      <c r="H82" s="405"/>
      <c r="I82" s="405"/>
      <c r="J82" s="405"/>
      <c r="K82" s="405"/>
      <c r="L82" s="405"/>
      <c r="M82" s="405"/>
      <c r="N82" s="405"/>
    </row>
    <row r="83" spans="1:14" x14ac:dyDescent="0.25">
      <c r="A83" s="399" t="s">
        <v>73</v>
      </c>
      <c r="B83" s="405"/>
      <c r="C83" s="401"/>
      <c r="D83" s="405"/>
      <c r="E83" s="405"/>
      <c r="F83" s="405"/>
      <c r="G83" s="405"/>
      <c r="H83" s="405"/>
      <c r="I83" s="405"/>
      <c r="J83" s="405"/>
      <c r="K83" s="405"/>
      <c r="L83" s="405"/>
      <c r="M83" s="405"/>
      <c r="N83" s="405"/>
    </row>
    <row r="84" spans="1:14" x14ac:dyDescent="0.25">
      <c r="A84" s="399" t="s">
        <v>74</v>
      </c>
      <c r="B84" s="405"/>
      <c r="C84" s="401"/>
      <c r="D84" s="405"/>
      <c r="E84" s="405"/>
      <c r="F84" s="405"/>
      <c r="G84" s="405"/>
      <c r="H84" s="405"/>
      <c r="I84" s="405"/>
      <c r="J84" s="405"/>
      <c r="K84" s="405"/>
      <c r="L84" s="405"/>
      <c r="M84" s="405"/>
      <c r="N84" s="405"/>
    </row>
    <row r="85" spans="1:14" x14ac:dyDescent="0.25">
      <c r="A85" s="394" t="s">
        <v>75</v>
      </c>
      <c r="B85" s="405"/>
      <c r="C85" s="404"/>
      <c r="D85" s="405"/>
      <c r="E85" s="405"/>
      <c r="F85" s="405"/>
      <c r="G85" s="405"/>
      <c r="H85" s="405"/>
      <c r="I85" s="405"/>
      <c r="J85" s="405"/>
      <c r="K85" s="405"/>
      <c r="L85" s="405"/>
      <c r="M85" s="405"/>
      <c r="N85" s="405"/>
    </row>
    <row r="86" spans="1:14" x14ac:dyDescent="0.25">
      <c r="A86" s="399" t="s">
        <v>76</v>
      </c>
      <c r="B86" s="405"/>
      <c r="C86" s="401"/>
      <c r="D86" s="405"/>
      <c r="E86" s="405"/>
      <c r="F86" s="405"/>
      <c r="G86" s="405"/>
      <c r="H86" s="405"/>
      <c r="I86" s="405"/>
      <c r="J86" s="405"/>
      <c r="K86" s="405"/>
      <c r="L86" s="405"/>
      <c r="M86" s="405"/>
      <c r="N86" s="405"/>
    </row>
    <row r="87" spans="1:14" x14ac:dyDescent="0.25">
      <c r="A87" s="402" t="s">
        <v>77</v>
      </c>
      <c r="B87" s="403"/>
      <c r="C87" s="403"/>
      <c r="D87" s="403"/>
      <c r="E87" s="403"/>
      <c r="F87" s="403"/>
      <c r="G87" s="403"/>
      <c r="H87" s="403"/>
      <c r="I87" s="403"/>
      <c r="J87" s="403"/>
      <c r="K87" s="403"/>
      <c r="L87" s="403"/>
      <c r="M87" s="403"/>
      <c r="N87" s="403"/>
    </row>
    <row r="88" spans="1:14" x14ac:dyDescent="0.25">
      <c r="A88" s="406"/>
      <c r="B88" s="405"/>
      <c r="C88" s="405"/>
      <c r="D88" s="405"/>
      <c r="E88" s="405"/>
      <c r="F88" s="405"/>
      <c r="G88" s="405"/>
      <c r="H88" s="405"/>
      <c r="I88" s="405"/>
      <c r="J88" s="405"/>
      <c r="K88" s="405"/>
      <c r="L88" s="405"/>
      <c r="M88" s="405"/>
      <c r="N88" s="405"/>
    </row>
    <row r="89" spans="1:14" ht="15.75" x14ac:dyDescent="0.25">
      <c r="A89" s="407" t="s">
        <v>78</v>
      </c>
      <c r="B89" s="408">
        <f>B77+B87</f>
        <v>986410721.60699987</v>
      </c>
      <c r="C89" s="408">
        <f t="shared" ref="C89:N89" si="19">C77+C87</f>
        <v>37294017.25</v>
      </c>
      <c r="D89" s="408">
        <f t="shared" si="19"/>
        <v>74551541.100000009</v>
      </c>
      <c r="E89" s="408">
        <f t="shared" si="19"/>
        <v>90482835.530000001</v>
      </c>
      <c r="F89" s="408">
        <f t="shared" si="19"/>
        <v>55112672.529999994</v>
      </c>
      <c r="G89" s="408">
        <f t="shared" si="19"/>
        <v>60435635.800000012</v>
      </c>
      <c r="H89" s="408">
        <f t="shared" si="19"/>
        <v>53590751.950000003</v>
      </c>
      <c r="I89" s="408">
        <f t="shared" si="19"/>
        <v>124884570.67</v>
      </c>
      <c r="J89" s="408">
        <f t="shared" si="19"/>
        <v>77461776.590999991</v>
      </c>
      <c r="K89" s="408">
        <f t="shared" si="19"/>
        <v>96002447.460000008</v>
      </c>
      <c r="L89" s="408">
        <f t="shared" si="19"/>
        <v>117268623.18000001</v>
      </c>
      <c r="M89" s="408">
        <f t="shared" si="19"/>
        <v>84170700.746000007</v>
      </c>
      <c r="N89" s="408">
        <f t="shared" si="19"/>
        <v>115155148.80000001</v>
      </c>
    </row>
    <row r="92" spans="1:14" x14ac:dyDescent="0.25">
      <c r="B92" s="350"/>
      <c r="C92" s="350"/>
      <c r="D92" s="350"/>
      <c r="E92" s="350"/>
      <c r="F92" s="350"/>
      <c r="G92" s="350"/>
      <c r="H92" s="350"/>
      <c r="I92" s="350"/>
      <c r="J92" s="350"/>
      <c r="K92" s="390"/>
      <c r="L92" s="350"/>
      <c r="M92" s="350"/>
    </row>
    <row r="93" spans="1:14" x14ac:dyDescent="0.25">
      <c r="B93" s="390"/>
      <c r="C93" s="390"/>
      <c r="D93" s="390"/>
      <c r="E93" s="390"/>
      <c r="F93" s="390"/>
      <c r="G93" s="390"/>
      <c r="H93" s="390"/>
      <c r="I93" s="390"/>
      <c r="J93" s="390"/>
      <c r="K93" s="391"/>
      <c r="L93" s="390"/>
      <c r="M93" s="390"/>
    </row>
    <row r="94" spans="1:14" x14ac:dyDescent="0.25">
      <c r="B94" s="391"/>
      <c r="C94" s="391"/>
      <c r="D94" s="391"/>
      <c r="E94" s="350"/>
      <c r="F94" s="391"/>
      <c r="G94" s="391"/>
      <c r="H94" s="390"/>
      <c r="I94" s="391"/>
      <c r="J94" s="391"/>
      <c r="K94" s="391"/>
      <c r="L94" s="391"/>
      <c r="M94" s="391"/>
    </row>
    <row r="96" spans="1:14" x14ac:dyDescent="0.25">
      <c r="A96" s="44" t="s">
        <v>812</v>
      </c>
      <c r="B96" s="44" t="s">
        <v>814</v>
      </c>
    </row>
    <row r="97" spans="1:2" x14ac:dyDescent="0.25">
      <c r="A97" s="44" t="s">
        <v>813</v>
      </c>
      <c r="B97" s="44" t="s">
        <v>815</v>
      </c>
    </row>
    <row r="98" spans="1:2" x14ac:dyDescent="0.25">
      <c r="B98" s="44"/>
    </row>
  </sheetData>
  <sheetProtection sheet="1" objects="1" scenarios="1" formatCells="0"/>
  <mergeCells count="5">
    <mergeCell ref="A5:N5"/>
    <mergeCell ref="A6:N6"/>
    <mergeCell ref="A7:N7"/>
    <mergeCell ref="A8:N8"/>
    <mergeCell ref="A9:N9"/>
  </mergeCells>
  <printOptions horizontalCentered="1"/>
  <pageMargins left="0.45" right="1.45" top="0.75" bottom="0.75" header="0.3" footer="0.3"/>
  <pageSetup paperSize="5" scale="5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topLeftCell="B9" workbookViewId="0">
      <selection activeCell="B18" sqref="B18"/>
    </sheetView>
  </sheetViews>
  <sheetFormatPr baseColWidth="10" defaultColWidth="9.140625" defaultRowHeight="15" x14ac:dyDescent="0.25"/>
  <cols>
    <col min="1" max="1" width="84.42578125" style="1" customWidth="1"/>
    <col min="2" max="5" width="13.85546875" style="1" customWidth="1"/>
    <col min="6" max="15" width="15.85546875" style="1" customWidth="1"/>
    <col min="16" max="16384" width="9.140625" style="1"/>
  </cols>
  <sheetData>
    <row r="1" spans="1:15" ht="18.75" x14ac:dyDescent="0.25">
      <c r="A1" s="447" t="s">
        <v>95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</row>
    <row r="2" spans="1:15" ht="18.75" x14ac:dyDescent="0.25">
      <c r="A2" s="387"/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</row>
    <row r="3" spans="1:15" ht="18.75" x14ac:dyDescent="0.25">
      <c r="A3" s="387"/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</row>
    <row r="4" spans="1:15" ht="18.75" x14ac:dyDescent="0.25">
      <c r="A4" s="387"/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  <c r="O4" s="387"/>
    </row>
    <row r="5" spans="1:15" ht="18.75" x14ac:dyDescent="0.25">
      <c r="A5" s="447" t="s">
        <v>103</v>
      </c>
      <c r="B5" s="447"/>
      <c r="C5" s="447"/>
      <c r="D5" s="447"/>
      <c r="E5" s="447"/>
      <c r="F5" s="447"/>
      <c r="G5" s="447"/>
      <c r="H5" s="447"/>
      <c r="I5" s="447"/>
      <c r="J5" s="447"/>
      <c r="K5" s="447"/>
      <c r="L5" s="447"/>
      <c r="M5" s="447"/>
      <c r="N5" s="447"/>
      <c r="O5" s="447"/>
    </row>
    <row r="6" spans="1:15" ht="18.75" x14ac:dyDescent="0.25">
      <c r="A6" s="447" t="s">
        <v>107</v>
      </c>
      <c r="B6" s="447"/>
      <c r="C6" s="447"/>
      <c r="D6" s="447"/>
      <c r="E6" s="447"/>
      <c r="F6" s="447"/>
      <c r="G6" s="447"/>
      <c r="H6" s="447"/>
      <c r="I6" s="447"/>
      <c r="J6" s="447"/>
      <c r="K6" s="447"/>
      <c r="L6" s="447"/>
      <c r="M6" s="447"/>
      <c r="N6" s="447"/>
      <c r="O6" s="447"/>
    </row>
    <row r="7" spans="1:15" ht="18.75" customHeight="1" x14ac:dyDescent="0.25">
      <c r="A7" s="448" t="s">
        <v>106</v>
      </c>
      <c r="B7" s="448"/>
      <c r="C7" s="448"/>
      <c r="D7" s="448"/>
      <c r="E7" s="448"/>
      <c r="F7" s="448"/>
      <c r="G7" s="448"/>
      <c r="H7" s="448"/>
      <c r="I7" s="448"/>
      <c r="J7" s="448"/>
      <c r="K7" s="448"/>
      <c r="L7" s="448"/>
      <c r="M7" s="448"/>
      <c r="N7" s="448"/>
      <c r="O7" s="448"/>
    </row>
    <row r="8" spans="1:15" x14ac:dyDescent="0.25">
      <c r="A8" s="449" t="s">
        <v>36</v>
      </c>
      <c r="B8" s="449"/>
      <c r="C8" s="449"/>
      <c r="D8" s="449"/>
      <c r="E8" s="449"/>
      <c r="F8" s="449"/>
      <c r="G8" s="449"/>
      <c r="H8" s="449"/>
      <c r="I8" s="449"/>
      <c r="J8" s="449"/>
      <c r="K8" s="449"/>
      <c r="L8" s="449"/>
      <c r="M8" s="449"/>
      <c r="N8" s="449"/>
      <c r="O8" s="449"/>
    </row>
    <row r="9" spans="1:15" x14ac:dyDescent="0.25">
      <c r="L9" s="2"/>
      <c r="M9" s="2"/>
      <c r="N9" s="2"/>
      <c r="O9" s="2"/>
    </row>
    <row r="10" spans="1:15" ht="48" customHeight="1" x14ac:dyDescent="0.25">
      <c r="A10" s="7" t="s">
        <v>0</v>
      </c>
      <c r="B10" s="456" t="s">
        <v>96</v>
      </c>
      <c r="C10" s="457"/>
      <c r="D10" s="457"/>
      <c r="E10" s="457"/>
      <c r="F10" s="453"/>
      <c r="G10" s="458" t="s">
        <v>108</v>
      </c>
      <c r="H10" s="458"/>
      <c r="I10" s="458"/>
      <c r="J10" s="458"/>
      <c r="K10" s="453"/>
      <c r="L10" s="450" t="s">
        <v>97</v>
      </c>
      <c r="M10" s="451"/>
      <c r="N10" s="451"/>
      <c r="O10" s="452"/>
    </row>
    <row r="11" spans="1:15" x14ac:dyDescent="0.25">
      <c r="A11" s="3" t="s">
        <v>1</v>
      </c>
      <c r="B11" s="4" t="s">
        <v>99</v>
      </c>
      <c r="C11" s="4" t="s">
        <v>98</v>
      </c>
      <c r="D11" s="4" t="s">
        <v>100</v>
      </c>
      <c r="E11" s="4" t="s">
        <v>101</v>
      </c>
      <c r="F11" s="454"/>
      <c r="G11" s="4" t="s">
        <v>99</v>
      </c>
      <c r="H11" s="4" t="s">
        <v>98</v>
      </c>
      <c r="I11" s="4" t="s">
        <v>100</v>
      </c>
      <c r="J11" s="4" t="s">
        <v>101</v>
      </c>
      <c r="K11" s="454"/>
      <c r="L11" s="4" t="s">
        <v>99</v>
      </c>
      <c r="M11" s="4" t="s">
        <v>98</v>
      </c>
      <c r="N11" s="4" t="s">
        <v>100</v>
      </c>
      <c r="O11" s="4" t="s">
        <v>101</v>
      </c>
    </row>
    <row r="12" spans="1:15" x14ac:dyDescent="0.25">
      <c r="A12" s="9" t="s">
        <v>2</v>
      </c>
      <c r="B12" s="32">
        <f>SUM(B13:B17)</f>
        <v>51259513.759999998</v>
      </c>
      <c r="C12" s="32">
        <f t="shared" ref="C12:D12" si="0">SUM(C13:C17)</f>
        <v>33521592.039999999</v>
      </c>
      <c r="D12" s="32">
        <f t="shared" si="0"/>
        <v>84769401.049999997</v>
      </c>
      <c r="E12" s="32">
        <f>SUM(E13:E17)</f>
        <v>75975661.549999997</v>
      </c>
      <c r="F12" s="454"/>
      <c r="G12" s="32">
        <f>SUM(G13:G17)</f>
        <v>25386093.769999996</v>
      </c>
      <c r="H12" s="32">
        <f>SUM(H13:H17)</f>
        <v>23996713.289999999</v>
      </c>
      <c r="I12" s="32">
        <f t="shared" ref="I12:J12" si="1">SUM(I13:I17)</f>
        <v>55188278.169999994</v>
      </c>
      <c r="J12" s="32">
        <f t="shared" si="1"/>
        <v>85708611.810000002</v>
      </c>
      <c r="K12" s="454"/>
      <c r="L12" s="35">
        <f>SUM(B12+G12)</f>
        <v>76645607.530000001</v>
      </c>
      <c r="M12" s="35">
        <f t="shared" ref="M12:O12" si="2">SUM(C12+H12)</f>
        <v>57518305.329999998</v>
      </c>
      <c r="N12" s="35">
        <f t="shared" si="2"/>
        <v>139957679.22</v>
      </c>
      <c r="O12" s="35">
        <f t="shared" si="2"/>
        <v>161684273.36000001</v>
      </c>
    </row>
    <row r="13" spans="1:15" x14ac:dyDescent="0.25">
      <c r="A13" s="5" t="s">
        <v>3</v>
      </c>
      <c r="B13" s="33">
        <f>'F100'!C10+'F100'!D10+'F100'!E10</f>
        <v>43402969.32</v>
      </c>
      <c r="C13" s="33">
        <f>'F100'!F10+'F100'!G10+'F100'!H10</f>
        <v>28297934.789999999</v>
      </c>
      <c r="D13" s="33">
        <f>'F100'!I10+'F100'!J10+'F100'!K10</f>
        <v>72218121.319999993</v>
      </c>
      <c r="E13" s="33">
        <f>'F100'!L10+'F100'!M10+'F100'!N10</f>
        <v>52119298.359999999</v>
      </c>
      <c r="F13" s="454"/>
      <c r="G13" s="33">
        <f>VS!C10+VS!D10+VS!E10</f>
        <v>8592116.3100000005</v>
      </c>
      <c r="H13" s="33">
        <f>VS!F10+VS!G10+VS!H10</f>
        <v>5606539.8300000001</v>
      </c>
      <c r="I13" s="33">
        <f>VS!I10+VS!J10+VS!K10</f>
        <v>24176033.599999998</v>
      </c>
      <c r="J13" s="34">
        <f>VS!L10+VS!M10+VS!N10</f>
        <v>35450593.259999998</v>
      </c>
      <c r="K13" s="454"/>
      <c r="L13" s="8">
        <f>SUM(B13+G13)</f>
        <v>51995085.630000003</v>
      </c>
      <c r="M13" s="8">
        <f>SUM(C13+H13)</f>
        <v>33904474.619999997</v>
      </c>
      <c r="N13" s="8">
        <f>SUM(D13+I13)</f>
        <v>96394154.919999987</v>
      </c>
      <c r="O13" s="8">
        <f>SUM(E13+J13)</f>
        <v>87569891.620000005</v>
      </c>
    </row>
    <row r="14" spans="1:15" x14ac:dyDescent="0.25">
      <c r="A14" s="5" t="s">
        <v>4</v>
      </c>
      <c r="B14" s="33">
        <f>'F100'!C11+'F100'!D11+'F100'!E11</f>
        <v>1188475</v>
      </c>
      <c r="C14" s="33">
        <f>'F100'!F11+'F100'!G11+'F100'!H11</f>
        <v>855121</v>
      </c>
      <c r="D14" s="33">
        <f>'F100'!I11+'F100'!J11+'F100'!K11</f>
        <v>1039298</v>
      </c>
      <c r="E14" s="33">
        <f>'F100'!L11+'F100'!M11+'F100'!N11</f>
        <v>1733093</v>
      </c>
      <c r="F14" s="454"/>
      <c r="G14" s="33">
        <f>VS!C11+VS!D11+VS!E11</f>
        <v>16025436.379999999</v>
      </c>
      <c r="H14" s="33">
        <f>VS!F11+VS!G11+VS!H11</f>
        <v>17876300.43</v>
      </c>
      <c r="I14" s="33">
        <f>VS!I11+VS!J11+VS!K11</f>
        <v>28150709.169999998</v>
      </c>
      <c r="J14" s="34">
        <f>VS!L11+VS!M11+VS!N11</f>
        <v>46548502.539999999</v>
      </c>
      <c r="K14" s="454"/>
      <c r="L14" s="8">
        <f t="shared" ref="L14:L17" si="3">SUM(B14+G14)</f>
        <v>17213911.379999999</v>
      </c>
      <c r="M14" s="8">
        <f>SUM(C14+H14)</f>
        <v>18731421.43</v>
      </c>
      <c r="N14" s="8">
        <f t="shared" ref="N14:N17" si="4">SUM(D14+I14)</f>
        <v>29190007.169999998</v>
      </c>
      <c r="O14" s="8">
        <f t="shared" ref="O14:O17" si="5">SUM(E14+J14)</f>
        <v>48281595.539999999</v>
      </c>
    </row>
    <row r="15" spans="1:15" x14ac:dyDescent="0.25">
      <c r="A15" s="5" t="s">
        <v>37</v>
      </c>
      <c r="B15" s="33">
        <f>'F100'!C12+'F100'!D12+'F100'!E12</f>
        <v>0</v>
      </c>
      <c r="C15" s="33">
        <f>'F100'!F12+'F100'!G12+'F100'!H12</f>
        <v>0</v>
      </c>
      <c r="D15" s="33">
        <f>'F100'!I12+'F100'!J12+'F100'!K12</f>
        <v>0</v>
      </c>
      <c r="E15" s="33">
        <f>'F100'!L12+'F100'!M12+'F100'!N12</f>
        <v>0</v>
      </c>
      <c r="F15" s="454"/>
      <c r="G15" s="33">
        <f>VS!C12+VS!D12+VS!E12</f>
        <v>0</v>
      </c>
      <c r="H15" s="33">
        <f>VS!F12+VS!G12+VS!H12</f>
        <v>0</v>
      </c>
      <c r="I15" s="33">
        <f>VS!I12+VS!J12+VS!K12</f>
        <v>0</v>
      </c>
      <c r="J15" s="34">
        <f>VS!L12+VS!M12+VS!N12</f>
        <v>0</v>
      </c>
      <c r="K15" s="454"/>
      <c r="L15" s="8">
        <f t="shared" si="3"/>
        <v>0</v>
      </c>
      <c r="M15" s="8">
        <f>SUM(C15+H15)</f>
        <v>0</v>
      </c>
      <c r="N15" s="8">
        <f t="shared" si="4"/>
        <v>0</v>
      </c>
      <c r="O15" s="8">
        <f t="shared" si="5"/>
        <v>0</v>
      </c>
    </row>
    <row r="16" spans="1:15" x14ac:dyDescent="0.25">
      <c r="A16" s="5" t="s">
        <v>5</v>
      </c>
      <c r="B16" s="33">
        <f>'F100'!C13+'F100'!D13+'F100'!E13</f>
        <v>0</v>
      </c>
      <c r="C16" s="33">
        <f>'F100'!F13+'F100'!G13+'F100'!H13</f>
        <v>0</v>
      </c>
      <c r="D16" s="33">
        <f>'F100'!I13+'F100'!J13+'F100'!K13</f>
        <v>0</v>
      </c>
      <c r="E16" s="33">
        <f>'F100'!L13+'F100'!M13+'F100'!N13</f>
        <v>14134351.48</v>
      </c>
      <c r="F16" s="454"/>
      <c r="G16" s="33">
        <f>VS!C13+VS!D13+VS!E13</f>
        <v>0</v>
      </c>
      <c r="H16" s="33">
        <f>VS!F13+VS!G13+VS!H13</f>
        <v>0</v>
      </c>
      <c r="I16" s="33">
        <f>VS!I13+VS!J13+VS!K13</f>
        <v>0</v>
      </c>
      <c r="J16" s="34">
        <f>VS!L13+VS!M13+VS!N13</f>
        <v>0</v>
      </c>
      <c r="K16" s="454"/>
      <c r="L16" s="8">
        <f t="shared" si="3"/>
        <v>0</v>
      </c>
      <c r="M16" s="8">
        <f>SUM(C16+H16)</f>
        <v>0</v>
      </c>
      <c r="N16" s="8">
        <f t="shared" si="4"/>
        <v>0</v>
      </c>
      <c r="O16" s="8">
        <f t="shared" si="5"/>
        <v>14134351.48</v>
      </c>
    </row>
    <row r="17" spans="1:15" x14ac:dyDescent="0.25">
      <c r="A17" s="5" t="s">
        <v>6</v>
      </c>
      <c r="B17" s="33">
        <f>'F100'!C14+'F100'!D14+'F100'!E14</f>
        <v>6668069.4399999995</v>
      </c>
      <c r="C17" s="33">
        <f>'F100'!F14+'F100'!G14+'F100'!H14</f>
        <v>4368536.25</v>
      </c>
      <c r="D17" s="33">
        <f>'F100'!I14+'F100'!J14+'F100'!K14</f>
        <v>11511981.73</v>
      </c>
      <c r="E17" s="33">
        <f>'F100'!L14+'F100'!M14+'F100'!N14</f>
        <v>7988918.709999999</v>
      </c>
      <c r="F17" s="454"/>
      <c r="G17" s="33">
        <f>VS!C14+VS!D14+VS!E14</f>
        <v>768541.08000000007</v>
      </c>
      <c r="H17" s="33">
        <f>VS!F14+VS!G14+VS!H14</f>
        <v>513873.03</v>
      </c>
      <c r="I17" s="33">
        <f>VS!I14+VS!J14+VS!K14</f>
        <v>2861535.4000000004</v>
      </c>
      <c r="J17" s="34">
        <f>VS!L14+VS!M14+VS!N14</f>
        <v>3709516.01</v>
      </c>
      <c r="K17" s="454"/>
      <c r="L17" s="8">
        <f t="shared" si="3"/>
        <v>7436610.5199999996</v>
      </c>
      <c r="M17" s="8">
        <f>SUM(C17+H17)</f>
        <v>4882409.28</v>
      </c>
      <c r="N17" s="8">
        <f t="shared" si="4"/>
        <v>14373517.130000001</v>
      </c>
      <c r="O17" s="8">
        <f t="shared" si="5"/>
        <v>11698434.719999999</v>
      </c>
    </row>
    <row r="18" spans="1:15" s="11" customFormat="1" x14ac:dyDescent="0.25">
      <c r="A18" s="9" t="s">
        <v>7</v>
      </c>
      <c r="B18" s="32">
        <f>SUM(B19:B27)</f>
        <v>0</v>
      </c>
      <c r="C18" s="32">
        <f t="shared" ref="C18:E18" si="6">SUM(C19:C27)</f>
        <v>0</v>
      </c>
      <c r="D18" s="32">
        <f t="shared" si="6"/>
        <v>0</v>
      </c>
      <c r="E18" s="32">
        <f t="shared" si="6"/>
        <v>0</v>
      </c>
      <c r="F18" s="454"/>
      <c r="G18" s="32">
        <f>SUM(G19:G27)</f>
        <v>35156766.850000001</v>
      </c>
      <c r="H18" s="32">
        <f>SUM(H19:H27)</f>
        <v>16110939.82</v>
      </c>
      <c r="I18" s="32">
        <f t="shared" ref="I18:J18" si="7">SUM(I19:I27)</f>
        <v>15160304.470999999</v>
      </c>
      <c r="J18" s="32">
        <f t="shared" si="7"/>
        <v>19269162.5</v>
      </c>
      <c r="K18" s="454"/>
      <c r="L18" s="35">
        <f>SUM(B18+G18)</f>
        <v>35156766.850000001</v>
      </c>
      <c r="M18" s="35">
        <f t="shared" ref="M18:O27" si="8">SUM(C18+H18)</f>
        <v>16110939.82</v>
      </c>
      <c r="N18" s="35">
        <f t="shared" si="8"/>
        <v>15160304.470999999</v>
      </c>
      <c r="O18" s="35">
        <f t="shared" si="8"/>
        <v>19269162.5</v>
      </c>
    </row>
    <row r="19" spans="1:15" x14ac:dyDescent="0.25">
      <c r="A19" s="5" t="s">
        <v>8</v>
      </c>
      <c r="B19" s="33">
        <f>'F100'!C16+'F100'!D16+'F100'!E16</f>
        <v>0</v>
      </c>
      <c r="C19" s="33">
        <f>'F100'!F16+'F100'!G16+'F100'!H16</f>
        <v>0</v>
      </c>
      <c r="D19" s="33">
        <f>'F100'!I16+'F100'!J16+'F100'!K16</f>
        <v>0</v>
      </c>
      <c r="E19" s="33">
        <f>'F100'!L16+'F100'!M16+'F100'!N16</f>
        <v>0</v>
      </c>
      <c r="F19" s="454"/>
      <c r="G19" s="33">
        <f>VS!C16+VS!D16+VS!E16</f>
        <v>2668277.0999999996</v>
      </c>
      <c r="H19" s="33">
        <f>VS!F16+VS!G16+VS!H16</f>
        <v>4217502.9399999995</v>
      </c>
      <c r="I19" s="33">
        <f>VS!I16+VS!J16+VS!K16</f>
        <v>2382402.31</v>
      </c>
      <c r="J19" s="34">
        <f>VS!L16+VS!M16+VS!N16</f>
        <v>3801660.68</v>
      </c>
      <c r="K19" s="454"/>
      <c r="L19" s="8">
        <f t="shared" ref="L19:L27" si="9">SUM(B19+G19)</f>
        <v>2668277.0999999996</v>
      </c>
      <c r="M19" s="8">
        <f t="shared" si="8"/>
        <v>4217502.9399999995</v>
      </c>
      <c r="N19" s="8">
        <f t="shared" si="8"/>
        <v>2382402.31</v>
      </c>
      <c r="O19" s="8">
        <f t="shared" si="8"/>
        <v>3801660.68</v>
      </c>
    </row>
    <row r="20" spans="1:15" x14ac:dyDescent="0.25">
      <c r="A20" s="5" t="s">
        <v>9</v>
      </c>
      <c r="B20" s="33">
        <f>'F100'!C17+'F100'!D17+'F100'!E17</f>
        <v>0</v>
      </c>
      <c r="C20" s="33">
        <f>'F100'!F17+'F100'!G17+'F100'!H17</f>
        <v>0</v>
      </c>
      <c r="D20" s="33">
        <f>'F100'!I17+'F100'!J17+'F100'!K17</f>
        <v>0</v>
      </c>
      <c r="E20" s="33">
        <f>'F100'!L17+'F100'!M17+'F100'!N17</f>
        <v>0</v>
      </c>
      <c r="F20" s="454"/>
      <c r="G20" s="33">
        <f>VS!C17+VS!D17+VS!E17</f>
        <v>0</v>
      </c>
      <c r="H20" s="33">
        <f>VS!F17+VS!G17+VS!H17</f>
        <v>0</v>
      </c>
      <c r="I20" s="33">
        <f>VS!I17+VS!J17+VS!K17</f>
        <v>0</v>
      </c>
      <c r="J20" s="34">
        <f>VS!L17+VS!M17+VS!N17</f>
        <v>285573.03000000003</v>
      </c>
      <c r="K20" s="454"/>
      <c r="L20" s="8">
        <f t="shared" si="9"/>
        <v>0</v>
      </c>
      <c r="M20" s="8">
        <f t="shared" si="8"/>
        <v>0</v>
      </c>
      <c r="N20" s="8">
        <f t="shared" si="8"/>
        <v>0</v>
      </c>
      <c r="O20" s="8">
        <f t="shared" si="8"/>
        <v>285573.03000000003</v>
      </c>
    </row>
    <row r="21" spans="1:15" x14ac:dyDescent="0.25">
      <c r="A21" s="5" t="s">
        <v>10</v>
      </c>
      <c r="B21" s="33">
        <f>'F100'!C18+'F100'!D18+'F100'!E18</f>
        <v>0</v>
      </c>
      <c r="C21" s="33">
        <f>'F100'!F18+'F100'!G18+'F100'!H18</f>
        <v>0</v>
      </c>
      <c r="D21" s="33">
        <f>'F100'!I18+'F100'!J18+'F100'!K18</f>
        <v>0</v>
      </c>
      <c r="E21" s="33">
        <f>'F100'!L18+'F100'!M18+'F100'!N18</f>
        <v>0</v>
      </c>
      <c r="F21" s="454"/>
      <c r="G21" s="33">
        <f>VS!C18+VS!D18+VS!E18</f>
        <v>0</v>
      </c>
      <c r="H21" s="33">
        <f>VS!F18+VS!G18+VS!H18</f>
        <v>0</v>
      </c>
      <c r="I21" s="33">
        <f>VS!I18+VS!J18+VS!K18</f>
        <v>0</v>
      </c>
      <c r="J21" s="34">
        <f>VS!L18+VS!M18+VS!N18</f>
        <v>0</v>
      </c>
      <c r="K21" s="454"/>
      <c r="L21" s="8">
        <f t="shared" si="9"/>
        <v>0</v>
      </c>
      <c r="M21" s="8">
        <f t="shared" si="8"/>
        <v>0</v>
      </c>
      <c r="N21" s="8">
        <f t="shared" si="8"/>
        <v>0</v>
      </c>
      <c r="O21" s="8">
        <f t="shared" si="8"/>
        <v>0</v>
      </c>
    </row>
    <row r="22" spans="1:15" x14ac:dyDescent="0.25">
      <c r="A22" s="5" t="s">
        <v>11</v>
      </c>
      <c r="B22" s="33">
        <f>'F100'!C19+'F100'!D19+'F100'!E19</f>
        <v>0</v>
      </c>
      <c r="C22" s="33">
        <f>'F100'!F19+'F100'!G19+'F100'!H19</f>
        <v>0</v>
      </c>
      <c r="D22" s="33">
        <f>'F100'!I19+'F100'!J19+'F100'!K19</f>
        <v>0</v>
      </c>
      <c r="E22" s="33">
        <f>'F100'!L19+'F100'!M19+'F100'!N19</f>
        <v>0</v>
      </c>
      <c r="F22" s="454"/>
      <c r="G22" s="33">
        <f>VS!C19+VS!D19+VS!E19</f>
        <v>21160.33</v>
      </c>
      <c r="H22" s="33">
        <f>VS!F19+VS!G19+VS!H19</f>
        <v>150000</v>
      </c>
      <c r="I22" s="33">
        <f>VS!I19+VS!J19+VS!K19</f>
        <v>2310</v>
      </c>
      <c r="J22" s="34">
        <f>VS!L19+VS!M19+VS!N19</f>
        <v>114146.37000000001</v>
      </c>
      <c r="K22" s="454"/>
      <c r="L22" s="8">
        <f t="shared" si="9"/>
        <v>21160.33</v>
      </c>
      <c r="M22" s="8">
        <f t="shared" si="8"/>
        <v>150000</v>
      </c>
      <c r="N22" s="8">
        <f t="shared" si="8"/>
        <v>2310</v>
      </c>
      <c r="O22" s="8">
        <f t="shared" si="8"/>
        <v>114146.37000000001</v>
      </c>
    </row>
    <row r="23" spans="1:15" x14ac:dyDescent="0.25">
      <c r="A23" s="5" t="s">
        <v>12</v>
      </c>
      <c r="B23" s="33">
        <f>'F100'!C20+'F100'!D20+'F100'!E20</f>
        <v>0</v>
      </c>
      <c r="C23" s="33">
        <f>'F100'!F20+'F100'!G20+'F100'!H20</f>
        <v>0</v>
      </c>
      <c r="D23" s="33">
        <f>'F100'!I20+'F100'!J20+'F100'!K20</f>
        <v>0</v>
      </c>
      <c r="E23" s="33">
        <f>'F100'!L20+'F100'!M20+'F100'!N20</f>
        <v>0</v>
      </c>
      <c r="F23" s="454"/>
      <c r="G23" s="33">
        <f>VS!C20+VS!D20+VS!E20</f>
        <v>33200</v>
      </c>
      <c r="H23" s="33">
        <f>VS!F20+VS!G20+VS!H20</f>
        <v>2666844.54</v>
      </c>
      <c r="I23" s="33">
        <f>VS!I20+VS!J20+VS!K20</f>
        <v>47639.34</v>
      </c>
      <c r="J23" s="34">
        <f>VS!L20+VS!M20+VS!N20</f>
        <v>1899800</v>
      </c>
      <c r="K23" s="454"/>
      <c r="L23" s="8">
        <f t="shared" si="9"/>
        <v>33200</v>
      </c>
      <c r="M23" s="8">
        <f t="shared" si="8"/>
        <v>2666844.54</v>
      </c>
      <c r="N23" s="8">
        <f t="shared" si="8"/>
        <v>47639.34</v>
      </c>
      <c r="O23" s="8">
        <f t="shared" si="8"/>
        <v>1899800</v>
      </c>
    </row>
    <row r="24" spans="1:15" x14ac:dyDescent="0.25">
      <c r="A24" s="5" t="s">
        <v>13</v>
      </c>
      <c r="B24" s="33">
        <f>'F100'!C21+'F100'!D21+'F100'!E21</f>
        <v>0</v>
      </c>
      <c r="C24" s="33">
        <f>'F100'!F21+'F100'!G21+'F100'!H21</f>
        <v>0</v>
      </c>
      <c r="D24" s="33">
        <f>'F100'!I21+'F100'!J21+'F100'!K21</f>
        <v>0</v>
      </c>
      <c r="E24" s="33">
        <f>'F100'!L21+'F100'!M21+'F100'!N21</f>
        <v>0</v>
      </c>
      <c r="F24" s="454"/>
      <c r="G24" s="33">
        <f>VS!C21+VS!D21+VS!E21</f>
        <v>1386217.69</v>
      </c>
      <c r="H24" s="33">
        <f>VS!F21+VS!G21+VS!H21</f>
        <v>925554.54999999993</v>
      </c>
      <c r="I24" s="33">
        <f>VS!I21+VS!J21+VS!K21</f>
        <v>1044343.16</v>
      </c>
      <c r="J24" s="34">
        <f>VS!L21+VS!M21+VS!N21</f>
        <v>1094232.1599999999</v>
      </c>
      <c r="K24" s="454"/>
      <c r="L24" s="8">
        <f t="shared" si="9"/>
        <v>1386217.69</v>
      </c>
      <c r="M24" s="8">
        <f t="shared" si="8"/>
        <v>925554.54999999993</v>
      </c>
      <c r="N24" s="8">
        <f t="shared" si="8"/>
        <v>1044343.16</v>
      </c>
      <c r="O24" s="8">
        <f t="shared" si="8"/>
        <v>1094232.1599999999</v>
      </c>
    </row>
    <row r="25" spans="1:15" ht="30" x14ac:dyDescent="0.25">
      <c r="A25" s="5" t="s">
        <v>14</v>
      </c>
      <c r="B25" s="33">
        <f>'F100'!C22+'F100'!D22+'F100'!E22</f>
        <v>0</v>
      </c>
      <c r="C25" s="33">
        <f>'F100'!F22+'F100'!G22+'F100'!H22</f>
        <v>0</v>
      </c>
      <c r="D25" s="33">
        <f>'F100'!I22+'F100'!J22+'F100'!K22</f>
        <v>0</v>
      </c>
      <c r="E25" s="33">
        <f>'F100'!L22+'F100'!M22+'F100'!N22</f>
        <v>0</v>
      </c>
      <c r="F25" s="454"/>
      <c r="G25" s="33">
        <f>VS!C22+VS!D22+VS!E22</f>
        <v>26757157.039999999</v>
      </c>
      <c r="H25" s="33">
        <f>VS!F22+VS!G22+VS!H22</f>
        <v>804627.25</v>
      </c>
      <c r="I25" s="33">
        <f>VS!I22+VS!J22+VS!K22</f>
        <v>3478738.9209999996</v>
      </c>
      <c r="J25" s="34">
        <f>VS!L22+VS!M22+VS!N22</f>
        <v>4924202.47</v>
      </c>
      <c r="K25" s="454"/>
      <c r="L25" s="8">
        <f t="shared" si="9"/>
        <v>26757157.039999999</v>
      </c>
      <c r="M25" s="8">
        <f t="shared" si="8"/>
        <v>804627.25</v>
      </c>
      <c r="N25" s="8">
        <f t="shared" si="8"/>
        <v>3478738.9209999996</v>
      </c>
      <c r="O25" s="8">
        <f>SUM(E25+J25)</f>
        <v>4924202.47</v>
      </c>
    </row>
    <row r="26" spans="1:15" x14ac:dyDescent="0.25">
      <c r="A26" s="5" t="s">
        <v>15</v>
      </c>
      <c r="B26" s="33">
        <f>'F100'!C23+'F100'!D23+'F100'!E23</f>
        <v>0</v>
      </c>
      <c r="C26" s="33">
        <f>'F100'!F23+'F100'!G23+'F100'!H23</f>
        <v>0</v>
      </c>
      <c r="D26" s="33">
        <f>'F100'!I23+'F100'!J23+'F100'!K23</f>
        <v>0</v>
      </c>
      <c r="E26" s="33">
        <f>'F100'!L23+'F100'!M23+'F100'!N23</f>
        <v>0</v>
      </c>
      <c r="F26" s="454"/>
      <c r="G26" s="33">
        <f>VS!C23+VS!D23+VS!E23</f>
        <v>3117603.29</v>
      </c>
      <c r="H26" s="33">
        <f>VS!F23+VS!G23+VS!H23</f>
        <v>3444881.98</v>
      </c>
      <c r="I26" s="33">
        <f>VS!I23+VS!J23+VS!K23</f>
        <v>5172920.09</v>
      </c>
      <c r="J26" s="34">
        <f>VS!L23+VS!M23+VS!N23</f>
        <v>3492864.09</v>
      </c>
      <c r="K26" s="454"/>
      <c r="L26" s="8">
        <f t="shared" si="9"/>
        <v>3117603.29</v>
      </c>
      <c r="M26" s="8">
        <f t="shared" si="8"/>
        <v>3444881.98</v>
      </c>
      <c r="N26" s="8">
        <f t="shared" si="8"/>
        <v>5172920.09</v>
      </c>
      <c r="O26" s="8">
        <f t="shared" si="8"/>
        <v>3492864.09</v>
      </c>
    </row>
    <row r="27" spans="1:15" x14ac:dyDescent="0.25">
      <c r="A27" s="5" t="s">
        <v>38</v>
      </c>
      <c r="B27" s="33">
        <f>'F100'!C24+'F100'!D24+'F100'!E24</f>
        <v>0</v>
      </c>
      <c r="C27" s="33">
        <f>'F100'!F24+'F100'!G24+'F100'!H24</f>
        <v>0</v>
      </c>
      <c r="D27" s="33">
        <f>'F100'!I24+'F100'!J24+'F100'!K24</f>
        <v>0</v>
      </c>
      <c r="E27" s="33">
        <f>'F100'!L24+'F100'!M24+'F100'!N24</f>
        <v>0</v>
      </c>
      <c r="F27" s="454"/>
      <c r="G27" s="33">
        <f>VS!C24+VS!D24+VS!E24</f>
        <v>1173151.3999999999</v>
      </c>
      <c r="H27" s="33">
        <f>VS!F24+VS!G24+VS!H24</f>
        <v>3901528.5600000005</v>
      </c>
      <c r="I27" s="33">
        <f>VS!I24+VS!J24+VS!K24</f>
        <v>3031950.6500000004</v>
      </c>
      <c r="J27" s="34">
        <f>VS!L24+VS!M24+VS!N24</f>
        <v>3656683.6999999997</v>
      </c>
      <c r="K27" s="454"/>
      <c r="L27" s="8">
        <f t="shared" si="9"/>
        <v>1173151.3999999999</v>
      </c>
      <c r="M27" s="8">
        <f t="shared" si="8"/>
        <v>3901528.5600000005</v>
      </c>
      <c r="N27" s="8">
        <f t="shared" si="8"/>
        <v>3031950.6500000004</v>
      </c>
      <c r="O27" s="8">
        <f t="shared" si="8"/>
        <v>3656683.6999999997</v>
      </c>
    </row>
    <row r="28" spans="1:15" s="11" customFormat="1" x14ac:dyDescent="0.25">
      <c r="A28" s="9" t="s">
        <v>16</v>
      </c>
      <c r="B28" s="32">
        <f>SUM(B29:B37)</f>
        <v>0</v>
      </c>
      <c r="C28" s="32">
        <f t="shared" ref="C28:E28" si="10">SUM(C29:C37)</f>
        <v>0</v>
      </c>
      <c r="D28" s="32">
        <f t="shared" si="10"/>
        <v>0</v>
      </c>
      <c r="E28" s="32">
        <f t="shared" si="10"/>
        <v>0</v>
      </c>
      <c r="F28" s="454"/>
      <c r="G28" s="32">
        <f t="shared" ref="G28:J28" si="11">SUM(G29:G37)</f>
        <v>84949231.719999999</v>
      </c>
      <c r="H28" s="32">
        <f t="shared" si="11"/>
        <v>92556979.020000011</v>
      </c>
      <c r="I28" s="32">
        <f t="shared" si="11"/>
        <v>137126939.76999998</v>
      </c>
      <c r="J28" s="32">
        <f t="shared" si="11"/>
        <v>129803973.90600002</v>
      </c>
      <c r="K28" s="454"/>
      <c r="L28" s="35">
        <f>SUM(B28+G28)</f>
        <v>84949231.719999999</v>
      </c>
      <c r="M28" s="35">
        <f t="shared" ref="M28:O37" si="12">SUM(C28+H28)</f>
        <v>92556979.020000011</v>
      </c>
      <c r="N28" s="35">
        <f t="shared" si="12"/>
        <v>137126939.76999998</v>
      </c>
      <c r="O28" s="35">
        <f t="shared" si="12"/>
        <v>129803973.90600002</v>
      </c>
    </row>
    <row r="29" spans="1:15" x14ac:dyDescent="0.25">
      <c r="A29" s="5" t="s">
        <v>17</v>
      </c>
      <c r="B29" s="33">
        <f>'F100'!C26+'F100'!D26+'F100'!E26</f>
        <v>0</v>
      </c>
      <c r="C29" s="33">
        <f>'F100'!F26+'F100'!G26+'F100'!H26</f>
        <v>0</v>
      </c>
      <c r="D29" s="33">
        <f>'F100'!I26+'F100'!J26+'F100'!K26</f>
        <v>0</v>
      </c>
      <c r="E29" s="33">
        <f>'F100'!L26+'F100'!M26+'F100'!N26</f>
        <v>0</v>
      </c>
      <c r="F29" s="454"/>
      <c r="G29" s="33">
        <f>VS!C26+VS!D26+VS!E26</f>
        <v>2060246.67</v>
      </c>
      <c r="H29" s="33">
        <f>VS!F26+VS!G26+VS!H26</f>
        <v>2050004.12</v>
      </c>
      <c r="I29" s="33">
        <f>VS!I26+VS!J26+VS!K26</f>
        <v>2199873.9900000002</v>
      </c>
      <c r="J29" s="34">
        <f>VS!L26+VS!M26+VS!N26</f>
        <v>14000911.41</v>
      </c>
      <c r="K29" s="454"/>
      <c r="L29" s="8">
        <f t="shared" ref="L29:L37" si="13">SUM(B29+G29)</f>
        <v>2060246.67</v>
      </c>
      <c r="M29" s="8">
        <f t="shared" si="12"/>
        <v>2050004.12</v>
      </c>
      <c r="N29" s="8">
        <f t="shared" si="12"/>
        <v>2199873.9900000002</v>
      </c>
      <c r="O29" s="8">
        <f t="shared" si="12"/>
        <v>14000911.41</v>
      </c>
    </row>
    <row r="30" spans="1:15" x14ac:dyDescent="0.25">
      <c r="A30" s="5" t="s">
        <v>18</v>
      </c>
      <c r="B30" s="33">
        <f>'F100'!C27+'F100'!D27+'F100'!E27</f>
        <v>0</v>
      </c>
      <c r="C30" s="33">
        <f>'F100'!F27+'F100'!G27+'F100'!H27</f>
        <v>0</v>
      </c>
      <c r="D30" s="33">
        <f>'F100'!I27+'F100'!J27+'F100'!K27</f>
        <v>0</v>
      </c>
      <c r="E30" s="33">
        <f>'F100'!L27+'F100'!M27+'F100'!N27</f>
        <v>0</v>
      </c>
      <c r="F30" s="454"/>
      <c r="G30" s="33">
        <f>VS!C27+VS!D27+VS!E27</f>
        <v>0</v>
      </c>
      <c r="H30" s="33">
        <f>VS!F27+VS!G27+VS!H27</f>
        <v>2026684</v>
      </c>
      <c r="I30" s="33">
        <f>VS!I27+VS!J27+VS!K27</f>
        <v>104241.2</v>
      </c>
      <c r="J30" s="34">
        <f>VS!L27+VS!M27+VS!N27</f>
        <v>208500.24</v>
      </c>
      <c r="K30" s="454"/>
      <c r="L30" s="8">
        <f t="shared" si="13"/>
        <v>0</v>
      </c>
      <c r="M30" s="8">
        <f t="shared" si="12"/>
        <v>2026684</v>
      </c>
      <c r="N30" s="8">
        <f t="shared" si="12"/>
        <v>104241.2</v>
      </c>
      <c r="O30" s="8">
        <f t="shared" si="12"/>
        <v>208500.24</v>
      </c>
    </row>
    <row r="31" spans="1:15" x14ac:dyDescent="0.25">
      <c r="A31" s="5" t="s">
        <v>19</v>
      </c>
      <c r="B31" s="33">
        <f>'F100'!C28+'F100'!D28+'F100'!E28</f>
        <v>0</v>
      </c>
      <c r="C31" s="33">
        <f>'F100'!F28+'F100'!G28+'F100'!H28</f>
        <v>0</v>
      </c>
      <c r="D31" s="33">
        <f>'F100'!I28+'F100'!J28+'F100'!K28</f>
        <v>0</v>
      </c>
      <c r="E31" s="33">
        <f>'F100'!L28+'F100'!M28+'F100'!N28</f>
        <v>0</v>
      </c>
      <c r="F31" s="454"/>
      <c r="G31" s="33">
        <f>VS!C28+VS!D28+VS!E28</f>
        <v>263842.36</v>
      </c>
      <c r="H31" s="33">
        <f>VS!F28+VS!G28+VS!H28</f>
        <v>1623641.49</v>
      </c>
      <c r="I31" s="33">
        <f>VS!I28+VS!J28+VS!K28</f>
        <v>1924015.25</v>
      </c>
      <c r="J31" s="34">
        <f>VS!L28+VS!M28+VS!N28</f>
        <v>715229.96</v>
      </c>
      <c r="K31" s="454"/>
      <c r="L31" s="8">
        <f t="shared" si="13"/>
        <v>263842.36</v>
      </c>
      <c r="M31" s="8">
        <f t="shared" si="12"/>
        <v>1623641.49</v>
      </c>
      <c r="N31" s="8">
        <f t="shared" si="12"/>
        <v>1924015.25</v>
      </c>
      <c r="O31" s="8">
        <f t="shared" si="12"/>
        <v>715229.96</v>
      </c>
    </row>
    <row r="32" spans="1:15" x14ac:dyDescent="0.25">
      <c r="A32" s="5" t="s">
        <v>20</v>
      </c>
      <c r="B32" s="33">
        <f>'F100'!C29+'F100'!D29+'F100'!E29</f>
        <v>0</v>
      </c>
      <c r="C32" s="33">
        <f>'F100'!F29+'F100'!G29+'F100'!H29</f>
        <v>0</v>
      </c>
      <c r="D32" s="33">
        <f>'F100'!I29+'F100'!J29+'F100'!K29</f>
        <v>0</v>
      </c>
      <c r="E32" s="33">
        <f>'F100'!L29+'F100'!M29+'F100'!N29</f>
        <v>0</v>
      </c>
      <c r="F32" s="454"/>
      <c r="G32" s="33">
        <f>VS!C29+VS!D29+VS!E29</f>
        <v>28595344.689999998</v>
      </c>
      <c r="H32" s="33">
        <f>VS!F29+VS!G29+VS!H29</f>
        <v>14804997.320000002</v>
      </c>
      <c r="I32" s="33">
        <f>VS!I29+VS!J29+VS!K29</f>
        <v>19085286.339999996</v>
      </c>
      <c r="J32" s="34">
        <f>VS!L29+VS!M29+VS!N29</f>
        <v>13542212.470000003</v>
      </c>
      <c r="K32" s="454"/>
      <c r="L32" s="8">
        <f t="shared" si="13"/>
        <v>28595344.689999998</v>
      </c>
      <c r="M32" s="8">
        <f t="shared" si="12"/>
        <v>14804997.320000002</v>
      </c>
      <c r="N32" s="8">
        <f t="shared" si="12"/>
        <v>19085286.339999996</v>
      </c>
      <c r="O32" s="8">
        <f t="shared" si="12"/>
        <v>13542212.470000003</v>
      </c>
    </row>
    <row r="33" spans="1:15" x14ac:dyDescent="0.25">
      <c r="A33" s="5" t="s">
        <v>21</v>
      </c>
      <c r="B33" s="33">
        <f>'F100'!C30+'F100'!D30+'F100'!E30</f>
        <v>0</v>
      </c>
      <c r="C33" s="33">
        <f>'F100'!F30+'F100'!G30+'F100'!H30</f>
        <v>0</v>
      </c>
      <c r="D33" s="33">
        <f>'F100'!I30+'F100'!J30+'F100'!K30</f>
        <v>0</v>
      </c>
      <c r="E33" s="33">
        <f>'F100'!L30+'F100'!M30+'F100'!N30</f>
        <v>0</v>
      </c>
      <c r="F33" s="454"/>
      <c r="G33" s="33">
        <f>VS!C30+VS!D30+VS!E30</f>
        <v>782382</v>
      </c>
      <c r="H33" s="33">
        <f>VS!F30+VS!G30+VS!H30</f>
        <v>1127459.02</v>
      </c>
      <c r="I33" s="33">
        <f>VS!I30+VS!J30+VS!K30</f>
        <v>553433.06000000006</v>
      </c>
      <c r="J33" s="34">
        <f>VS!L30+VS!M30+VS!N30</f>
        <v>685516.54</v>
      </c>
      <c r="K33" s="454"/>
      <c r="L33" s="8">
        <f t="shared" si="13"/>
        <v>782382</v>
      </c>
      <c r="M33" s="8">
        <f t="shared" si="12"/>
        <v>1127459.02</v>
      </c>
      <c r="N33" s="8">
        <f t="shared" si="12"/>
        <v>553433.06000000006</v>
      </c>
      <c r="O33" s="8">
        <f t="shared" si="12"/>
        <v>685516.54</v>
      </c>
    </row>
    <row r="34" spans="1:15" x14ac:dyDescent="0.25">
      <c r="A34" s="5" t="s">
        <v>22</v>
      </c>
      <c r="B34" s="33">
        <f>'F100'!C31+'F100'!D31+'F100'!E31</f>
        <v>0</v>
      </c>
      <c r="C34" s="33">
        <f>'F100'!F31+'F100'!G31+'F100'!H31</f>
        <v>0</v>
      </c>
      <c r="D34" s="33">
        <f>'F100'!I31+'F100'!J31+'F100'!K31</f>
        <v>0</v>
      </c>
      <c r="E34" s="33">
        <f>'F100'!L31+'F100'!M31+'F100'!N31</f>
        <v>0</v>
      </c>
      <c r="F34" s="454"/>
      <c r="G34" s="33">
        <f>VS!C31+VS!D31+VS!E31</f>
        <v>5083.1400000000003</v>
      </c>
      <c r="H34" s="33">
        <f>VS!F31+VS!G31+VS!H31</f>
        <v>55519.37</v>
      </c>
      <c r="I34" s="33">
        <f>VS!I31+VS!J31+VS!K31</f>
        <v>162121.87</v>
      </c>
      <c r="J34" s="34">
        <f>VS!L31+VS!M31+VS!N31</f>
        <v>81497.67</v>
      </c>
      <c r="K34" s="454"/>
      <c r="L34" s="8">
        <f t="shared" si="13"/>
        <v>5083.1400000000003</v>
      </c>
      <c r="M34" s="8">
        <f t="shared" si="12"/>
        <v>55519.37</v>
      </c>
      <c r="N34" s="8">
        <f t="shared" si="12"/>
        <v>162121.87</v>
      </c>
      <c r="O34" s="8">
        <f t="shared" si="12"/>
        <v>81497.67</v>
      </c>
    </row>
    <row r="35" spans="1:15" x14ac:dyDescent="0.25">
      <c r="A35" s="5" t="s">
        <v>23</v>
      </c>
      <c r="B35" s="33">
        <f>'F100'!C32+'F100'!D32+'F100'!E32</f>
        <v>0</v>
      </c>
      <c r="C35" s="33">
        <f>'F100'!F32+'F100'!G32+'F100'!H32</f>
        <v>0</v>
      </c>
      <c r="D35" s="33">
        <f>'F100'!I32+'F100'!J32+'F100'!K32</f>
        <v>0</v>
      </c>
      <c r="E35" s="33">
        <f>'F100'!L32+'F100'!M32+'F100'!N32</f>
        <v>0</v>
      </c>
      <c r="F35" s="454"/>
      <c r="G35" s="33">
        <f>VS!C32+VS!D32+VS!E32</f>
        <v>7988468.8900000006</v>
      </c>
      <c r="H35" s="33">
        <f>VS!F32+VS!G32+VS!H32</f>
        <v>19728398.77</v>
      </c>
      <c r="I35" s="33">
        <f>VS!I32+VS!J32+VS!K32</f>
        <v>29360568.680000003</v>
      </c>
      <c r="J35" s="34">
        <f>VS!L32+VS!M32+VS!N32</f>
        <v>37385930.210000001</v>
      </c>
      <c r="K35" s="454"/>
      <c r="L35" s="8">
        <f t="shared" si="13"/>
        <v>7988468.8900000006</v>
      </c>
      <c r="M35" s="8">
        <f t="shared" si="12"/>
        <v>19728398.77</v>
      </c>
      <c r="N35" s="8">
        <f t="shared" si="12"/>
        <v>29360568.680000003</v>
      </c>
      <c r="O35" s="8">
        <f t="shared" si="12"/>
        <v>37385930.210000001</v>
      </c>
    </row>
    <row r="36" spans="1:15" x14ac:dyDescent="0.25">
      <c r="A36" s="5" t="s">
        <v>39</v>
      </c>
      <c r="B36" s="33">
        <f>'F100'!C33+'F100'!D33+'F100'!E33</f>
        <v>0</v>
      </c>
      <c r="C36" s="33">
        <f>'F100'!F33+'F100'!G33+'F100'!H33</f>
        <v>0</v>
      </c>
      <c r="D36" s="33">
        <f>'F100'!I33+'F100'!J33+'F100'!K33</f>
        <v>0</v>
      </c>
      <c r="E36" s="33">
        <f>'F100'!L33+'F100'!M33+'F100'!N33</f>
        <v>0</v>
      </c>
      <c r="F36" s="454"/>
      <c r="G36" s="33">
        <f>VS!C33+VS!D33+VS!E33</f>
        <v>0</v>
      </c>
      <c r="H36" s="33">
        <f>VS!F33+VS!G33+VS!H33</f>
        <v>0</v>
      </c>
      <c r="I36" s="33">
        <f>VS!I33+VS!J33+VS!K33</f>
        <v>0</v>
      </c>
      <c r="J36" s="34">
        <f>VS!L33+VS!M33+VS!N33</f>
        <v>0</v>
      </c>
      <c r="K36" s="454"/>
      <c r="L36" s="8">
        <f t="shared" si="13"/>
        <v>0</v>
      </c>
      <c r="M36" s="8">
        <f t="shared" si="12"/>
        <v>0</v>
      </c>
      <c r="N36" s="8">
        <f t="shared" si="12"/>
        <v>0</v>
      </c>
      <c r="O36" s="8">
        <f t="shared" si="12"/>
        <v>0</v>
      </c>
    </row>
    <row r="37" spans="1:15" x14ac:dyDescent="0.25">
      <c r="A37" s="5" t="s">
        <v>24</v>
      </c>
      <c r="B37" s="33">
        <f>'F100'!C34+'F100'!D34+'F100'!E34</f>
        <v>0</v>
      </c>
      <c r="C37" s="33">
        <f>'F100'!F34+'F100'!G34+'F100'!H34</f>
        <v>0</v>
      </c>
      <c r="D37" s="33">
        <f>'F100'!I34+'F100'!J34+'F100'!K34</f>
        <v>0</v>
      </c>
      <c r="E37" s="33">
        <f>'F100'!L34+'F100'!M34+'F100'!N34</f>
        <v>0</v>
      </c>
      <c r="F37" s="454"/>
      <c r="G37" s="33">
        <f>VS!C34+VS!D34+VS!E34</f>
        <v>45253863.970000006</v>
      </c>
      <c r="H37" s="33">
        <f>VS!F34+VS!G34+VS!H34</f>
        <v>51140274.930000007</v>
      </c>
      <c r="I37" s="33">
        <f>VS!I34+VS!J34+VS!K34</f>
        <v>83737399.379999995</v>
      </c>
      <c r="J37" s="34">
        <f>VS!L34+VS!M34+VS!N34</f>
        <v>63184175.406000018</v>
      </c>
      <c r="K37" s="454"/>
      <c r="L37" s="8">
        <f t="shared" si="13"/>
        <v>45253863.970000006</v>
      </c>
      <c r="M37" s="8">
        <f t="shared" si="12"/>
        <v>51140274.930000007</v>
      </c>
      <c r="N37" s="8">
        <f t="shared" si="12"/>
        <v>83737399.379999995</v>
      </c>
      <c r="O37" s="8">
        <f t="shared" si="12"/>
        <v>63184175.406000018</v>
      </c>
    </row>
    <row r="38" spans="1:15" s="11" customFormat="1" x14ac:dyDescent="0.25">
      <c r="A38" s="9" t="s">
        <v>25</v>
      </c>
      <c r="B38" s="32">
        <f>SUM(B39:B45)</f>
        <v>0</v>
      </c>
      <c r="C38" s="32">
        <f t="shared" ref="C38:E38" si="14">SUM(C39:C45)</f>
        <v>0</v>
      </c>
      <c r="D38" s="32">
        <f t="shared" si="14"/>
        <v>0</v>
      </c>
      <c r="E38" s="32">
        <f t="shared" si="14"/>
        <v>0</v>
      </c>
      <c r="F38" s="454"/>
      <c r="G38" s="32">
        <f>SUM(G39:G45)</f>
        <v>0</v>
      </c>
      <c r="H38" s="32">
        <f t="shared" ref="H38" si="15">SUM(H39:H45)</f>
        <v>272509.24</v>
      </c>
      <c r="I38" s="32">
        <f t="shared" ref="I38" si="16">SUM(I39:I45)</f>
        <v>172500</v>
      </c>
      <c r="J38" s="32">
        <f t="shared" ref="J38" si="17">SUM(J39:J45)</f>
        <v>194750</v>
      </c>
      <c r="K38" s="454"/>
      <c r="L38" s="35">
        <f t="shared" ref="L38:O39" si="18">SUM(B38+G38)</f>
        <v>0</v>
      </c>
      <c r="M38" s="35">
        <f t="shared" si="18"/>
        <v>272509.24</v>
      </c>
      <c r="N38" s="35">
        <f t="shared" si="18"/>
        <v>172500</v>
      </c>
      <c r="O38" s="35">
        <f t="shared" si="18"/>
        <v>194750</v>
      </c>
    </row>
    <row r="39" spans="1:15" x14ac:dyDescent="0.25">
      <c r="A39" s="5" t="s">
        <v>26</v>
      </c>
      <c r="B39" s="33">
        <f>'F100'!C36+'F100'!D36+'F100'!E36</f>
        <v>0</v>
      </c>
      <c r="C39" s="33">
        <f>'F100'!F36+'F100'!G36+'F100'!H36</f>
        <v>0</v>
      </c>
      <c r="D39" s="33">
        <f>'F100'!I36+'F100'!J36+'F100'!K36</f>
        <v>0</v>
      </c>
      <c r="E39" s="33">
        <f>'F100'!L36+'F100'!M36+'F100'!N36</f>
        <v>0</v>
      </c>
      <c r="F39" s="454"/>
      <c r="G39" s="33">
        <f>VS!C36+VS!D36+VS!E36</f>
        <v>0</v>
      </c>
      <c r="H39" s="33">
        <f>VS!F36+VS!G36+VS!H36</f>
        <v>272509.24</v>
      </c>
      <c r="I39" s="33">
        <f>VS!I36+VS!J36+VS!K36</f>
        <v>172500</v>
      </c>
      <c r="J39" s="34">
        <f>VS!L36+VS!M36+VS!N36</f>
        <v>194750</v>
      </c>
      <c r="K39" s="454"/>
      <c r="L39" s="8">
        <f t="shared" si="18"/>
        <v>0</v>
      </c>
      <c r="M39" s="8">
        <f t="shared" si="18"/>
        <v>272509.24</v>
      </c>
      <c r="N39" s="8">
        <f t="shared" si="18"/>
        <v>172500</v>
      </c>
      <c r="O39" s="8">
        <f t="shared" si="18"/>
        <v>194750</v>
      </c>
    </row>
    <row r="40" spans="1:15" x14ac:dyDescent="0.25">
      <c r="A40" s="5" t="s">
        <v>40</v>
      </c>
      <c r="B40" s="33">
        <f>'F100'!C37+'F100'!D37+'F100'!E37</f>
        <v>0</v>
      </c>
      <c r="C40" s="33">
        <f>'F100'!F37+'F100'!G37+'F100'!H37</f>
        <v>0</v>
      </c>
      <c r="D40" s="33">
        <f>'F100'!I37+'F100'!J37+'F100'!K37</f>
        <v>0</v>
      </c>
      <c r="E40" s="33">
        <f>'F100'!L37+'F100'!M37+'F100'!N37</f>
        <v>0</v>
      </c>
      <c r="F40" s="454"/>
      <c r="G40" s="33">
        <f>VS!C37+VS!D37+VS!E37</f>
        <v>0</v>
      </c>
      <c r="H40" s="33">
        <f>VS!F37+VS!G37+VS!H37</f>
        <v>0</v>
      </c>
      <c r="I40" s="33">
        <f>VS!I37+VS!J37+VS!K37</f>
        <v>0</v>
      </c>
      <c r="J40" s="34">
        <f>VS!L37+VS!M37+VS!N37</f>
        <v>0</v>
      </c>
      <c r="K40" s="454"/>
      <c r="L40" s="8">
        <f t="shared" ref="L40:L45" si="19">SUM(B40+G40)</f>
        <v>0</v>
      </c>
      <c r="M40" s="8">
        <f t="shared" ref="M40:M53" si="20">SUM(C40+H40)</f>
        <v>0</v>
      </c>
      <c r="N40" s="8">
        <f t="shared" ref="N40:N45" si="21">SUM(D40+I40)</f>
        <v>0</v>
      </c>
      <c r="O40" s="8">
        <f t="shared" ref="O40:O45" si="22">SUM(E40+J40)</f>
        <v>0</v>
      </c>
    </row>
    <row r="41" spans="1:15" x14ac:dyDescent="0.25">
      <c r="A41" s="5" t="s">
        <v>41</v>
      </c>
      <c r="B41" s="33">
        <f>'F100'!C38+'F100'!D38+'F100'!E38</f>
        <v>0</v>
      </c>
      <c r="C41" s="33">
        <f>'F100'!F38+'F100'!G38+'F100'!H38</f>
        <v>0</v>
      </c>
      <c r="D41" s="33">
        <f>'F100'!I38+'F100'!J38+'F100'!K38</f>
        <v>0</v>
      </c>
      <c r="E41" s="33">
        <f>'F100'!L38+'F100'!M38+'F100'!N38</f>
        <v>0</v>
      </c>
      <c r="F41" s="454"/>
      <c r="G41" s="33">
        <f>VS!C38+VS!D38+VS!E38</f>
        <v>0</v>
      </c>
      <c r="H41" s="33">
        <f>VS!F38+VS!G38+VS!H38</f>
        <v>0</v>
      </c>
      <c r="I41" s="33">
        <f>VS!I38+VS!J38+VS!K38</f>
        <v>0</v>
      </c>
      <c r="J41" s="34">
        <f>VS!L38+VS!M38+VS!N38</f>
        <v>0</v>
      </c>
      <c r="K41" s="454"/>
      <c r="L41" s="8">
        <f t="shared" si="19"/>
        <v>0</v>
      </c>
      <c r="M41" s="8">
        <f t="shared" si="20"/>
        <v>0</v>
      </c>
      <c r="N41" s="8">
        <f t="shared" si="21"/>
        <v>0</v>
      </c>
      <c r="O41" s="8">
        <f t="shared" si="22"/>
        <v>0</v>
      </c>
    </row>
    <row r="42" spans="1:15" x14ac:dyDescent="0.25">
      <c r="A42" s="5" t="s">
        <v>42</v>
      </c>
      <c r="B42" s="33">
        <f>'F100'!C39+'F100'!D39+'F100'!E39</f>
        <v>0</v>
      </c>
      <c r="C42" s="33">
        <f>'F100'!F39+'F100'!G39+'F100'!H39</f>
        <v>0</v>
      </c>
      <c r="D42" s="33">
        <f>'F100'!I39+'F100'!J39+'F100'!K39</f>
        <v>0</v>
      </c>
      <c r="E42" s="33">
        <f>'F100'!L39+'F100'!M39+'F100'!N39</f>
        <v>0</v>
      </c>
      <c r="F42" s="454"/>
      <c r="G42" s="33">
        <f>VS!C39+VS!D39+VS!E39</f>
        <v>0</v>
      </c>
      <c r="H42" s="33">
        <f>VS!F39+VS!G39+VS!H39</f>
        <v>0</v>
      </c>
      <c r="I42" s="33">
        <f>VS!I39+VS!J39+VS!K39</f>
        <v>0</v>
      </c>
      <c r="J42" s="34">
        <f>VS!L39+VS!M39+VS!N39</f>
        <v>0</v>
      </c>
      <c r="K42" s="454"/>
      <c r="L42" s="8">
        <f t="shared" si="19"/>
        <v>0</v>
      </c>
      <c r="M42" s="8">
        <f t="shared" si="20"/>
        <v>0</v>
      </c>
      <c r="N42" s="8">
        <f t="shared" si="21"/>
        <v>0</v>
      </c>
      <c r="O42" s="8">
        <f t="shared" si="22"/>
        <v>0</v>
      </c>
    </row>
    <row r="43" spans="1:15" x14ac:dyDescent="0.25">
      <c r="A43" s="5" t="s">
        <v>43</v>
      </c>
      <c r="B43" s="33">
        <f>'F100'!C40+'F100'!D40+'F100'!E40</f>
        <v>0</v>
      </c>
      <c r="C43" s="33">
        <f>'F100'!F40+'F100'!G40+'F100'!H40</f>
        <v>0</v>
      </c>
      <c r="D43" s="33">
        <f>'F100'!I40+'F100'!J40+'F100'!K40</f>
        <v>0</v>
      </c>
      <c r="E43" s="33">
        <f>'F100'!L40+'F100'!M40+'F100'!N40</f>
        <v>0</v>
      </c>
      <c r="F43" s="454"/>
      <c r="G43" s="33">
        <f>VS!C40+VS!D40+VS!E40</f>
        <v>0</v>
      </c>
      <c r="H43" s="33">
        <f>VS!F40+VS!G40+VS!H40</f>
        <v>0</v>
      </c>
      <c r="I43" s="33">
        <f>VS!I40+VS!J40+VS!K40</f>
        <v>0</v>
      </c>
      <c r="J43" s="34">
        <f>VS!L40+VS!M40+VS!N40</f>
        <v>0</v>
      </c>
      <c r="K43" s="454"/>
      <c r="L43" s="8">
        <f t="shared" si="19"/>
        <v>0</v>
      </c>
      <c r="M43" s="8">
        <f t="shared" si="20"/>
        <v>0</v>
      </c>
      <c r="N43" s="8">
        <f t="shared" si="21"/>
        <v>0</v>
      </c>
      <c r="O43" s="8">
        <f t="shared" si="22"/>
        <v>0</v>
      </c>
    </row>
    <row r="44" spans="1:15" x14ac:dyDescent="0.25">
      <c r="A44" s="5" t="s">
        <v>27</v>
      </c>
      <c r="B44" s="33">
        <f>'F100'!C41+'F100'!D41+'F100'!E41</f>
        <v>0</v>
      </c>
      <c r="C44" s="33">
        <f>'F100'!F41+'F100'!G41+'F100'!H41</f>
        <v>0</v>
      </c>
      <c r="D44" s="33">
        <f>'F100'!I41+'F100'!J41+'F100'!K41</f>
        <v>0</v>
      </c>
      <c r="E44" s="33">
        <f>'F100'!L41+'F100'!M41+'F100'!N41</f>
        <v>0</v>
      </c>
      <c r="F44" s="454"/>
      <c r="G44" s="33">
        <f>VS!C41+VS!D41+VS!E41</f>
        <v>0</v>
      </c>
      <c r="H44" s="33">
        <f>VS!F41+VS!G41+VS!H41</f>
        <v>0</v>
      </c>
      <c r="I44" s="33">
        <f>VS!I41+VS!J41+VS!K41</f>
        <v>0</v>
      </c>
      <c r="J44" s="34">
        <f>VS!L41+VS!M41+VS!N41</f>
        <v>0</v>
      </c>
      <c r="K44" s="454"/>
      <c r="L44" s="8">
        <f t="shared" si="19"/>
        <v>0</v>
      </c>
      <c r="M44" s="8">
        <f t="shared" si="20"/>
        <v>0</v>
      </c>
      <c r="N44" s="8">
        <f t="shared" si="21"/>
        <v>0</v>
      </c>
      <c r="O44" s="8">
        <f t="shared" si="22"/>
        <v>0</v>
      </c>
    </row>
    <row r="45" spans="1:15" x14ac:dyDescent="0.25">
      <c r="A45" s="5" t="s">
        <v>44</v>
      </c>
      <c r="B45" s="33">
        <f>'F100'!C42+'F100'!D42+'F100'!E42</f>
        <v>0</v>
      </c>
      <c r="C45" s="33">
        <f>'F100'!F42+'F100'!G42+'F100'!H42</f>
        <v>0</v>
      </c>
      <c r="D45" s="33">
        <f>'F100'!I42+'F100'!J42+'F100'!K42</f>
        <v>0</v>
      </c>
      <c r="E45" s="33">
        <f>'F100'!L42+'F100'!M42+'F100'!N42</f>
        <v>0</v>
      </c>
      <c r="F45" s="454"/>
      <c r="G45" s="33">
        <f>VS!C42+VS!D42+VS!E42</f>
        <v>0</v>
      </c>
      <c r="H45" s="33">
        <f>VS!F42+VS!G42+VS!H42</f>
        <v>0</v>
      </c>
      <c r="I45" s="33">
        <f>VS!I42+VS!J42+VS!K42</f>
        <v>0</v>
      </c>
      <c r="J45" s="34">
        <f>VS!L42+VS!M42+VS!N42</f>
        <v>0</v>
      </c>
      <c r="K45" s="454"/>
      <c r="L45" s="8">
        <f t="shared" si="19"/>
        <v>0</v>
      </c>
      <c r="M45" s="8">
        <f t="shared" si="20"/>
        <v>0</v>
      </c>
      <c r="N45" s="8">
        <f t="shared" si="21"/>
        <v>0</v>
      </c>
      <c r="O45" s="8">
        <f t="shared" si="22"/>
        <v>0</v>
      </c>
    </row>
    <row r="46" spans="1:15" x14ac:dyDescent="0.25">
      <c r="A46" s="9" t="s">
        <v>45</v>
      </c>
      <c r="B46" s="32">
        <f>SUM(B47:B53)</f>
        <v>0</v>
      </c>
      <c r="C46" s="32">
        <f t="shared" ref="C46:E46" si="23">SUM(C47:C53)</f>
        <v>0</v>
      </c>
      <c r="D46" s="32">
        <f t="shared" si="23"/>
        <v>0</v>
      </c>
      <c r="E46" s="32">
        <f t="shared" si="23"/>
        <v>0</v>
      </c>
      <c r="F46" s="454"/>
      <c r="G46" s="32">
        <f>SUM(G47:G53)</f>
        <v>0</v>
      </c>
      <c r="H46" s="32">
        <f t="shared" ref="H46" si="24">SUM(H47:H53)</f>
        <v>0</v>
      </c>
      <c r="I46" s="32">
        <f t="shared" ref="I46" si="25">SUM(I47:I53)</f>
        <v>0</v>
      </c>
      <c r="J46" s="32">
        <f t="shared" ref="J46" si="26">SUM(J47:J53)</f>
        <v>0</v>
      </c>
      <c r="K46" s="454"/>
      <c r="L46" s="35">
        <f>SUM(B46+G46)</f>
        <v>0</v>
      </c>
      <c r="M46" s="35">
        <f t="shared" si="20"/>
        <v>0</v>
      </c>
      <c r="N46" s="35">
        <f>SUM(D46+I46)</f>
        <v>0</v>
      </c>
      <c r="O46" s="35">
        <f>SUM(E46+J46)</f>
        <v>0</v>
      </c>
    </row>
    <row r="47" spans="1:15" x14ac:dyDescent="0.25">
      <c r="A47" s="18" t="s">
        <v>46</v>
      </c>
      <c r="B47" s="33">
        <f>'F100'!C44+'F100'!D44+'F100'!E44</f>
        <v>0</v>
      </c>
      <c r="C47" s="33">
        <f>'F100'!D44+'F100'!E44+'F100'!F44</f>
        <v>0</v>
      </c>
      <c r="D47" s="33">
        <f>'F100'!E44+'F100'!F44+'F100'!G44</f>
        <v>0</v>
      </c>
      <c r="E47" s="33">
        <f>'F100'!F44+'F100'!G44+'F100'!H44</f>
        <v>0</v>
      </c>
      <c r="F47" s="454"/>
      <c r="G47" s="33">
        <f>VS!C44+VS!D44+VS!E44</f>
        <v>0</v>
      </c>
      <c r="H47" s="33">
        <f>VS!F44+VS!G44+VS!H44</f>
        <v>0</v>
      </c>
      <c r="I47" s="33">
        <f>VS!I44+VS!J44+VS!K44</f>
        <v>0</v>
      </c>
      <c r="J47" s="34">
        <f>VS!L44+VS!M44+VS!N44</f>
        <v>0</v>
      </c>
      <c r="K47" s="454"/>
      <c r="L47" s="8">
        <f t="shared" ref="L47:L53" si="27">SUM(B47+G47)</f>
        <v>0</v>
      </c>
      <c r="M47" s="8">
        <f t="shared" si="20"/>
        <v>0</v>
      </c>
      <c r="N47" s="8">
        <f t="shared" ref="N47:N53" si="28">SUM(D47+I47)</f>
        <v>0</v>
      </c>
      <c r="O47" s="8">
        <f t="shared" ref="O47:O53" si="29">SUM(E47+J47)</f>
        <v>0</v>
      </c>
    </row>
    <row r="48" spans="1:15" x14ac:dyDescent="0.25">
      <c r="A48" s="18" t="s">
        <v>47</v>
      </c>
      <c r="B48" s="33">
        <f>'F100'!C45+'F100'!D45+'F100'!E45</f>
        <v>0</v>
      </c>
      <c r="C48" s="33">
        <f>'F100'!D45+'F100'!E45+'F100'!F45</f>
        <v>0</v>
      </c>
      <c r="D48" s="33">
        <f>'F100'!E45+'F100'!F45+'F100'!G45</f>
        <v>0</v>
      </c>
      <c r="E48" s="33">
        <f>'F100'!F45+'F100'!G45+'F100'!H45</f>
        <v>0</v>
      </c>
      <c r="F48" s="454"/>
      <c r="G48" s="33">
        <f>VS!C45+VS!D45+VS!E45</f>
        <v>0</v>
      </c>
      <c r="H48" s="33">
        <f>VS!F45+VS!G45+VS!H45</f>
        <v>0</v>
      </c>
      <c r="I48" s="33">
        <f>VS!I45+VS!J45+VS!K45</f>
        <v>0</v>
      </c>
      <c r="J48" s="34">
        <f>VS!L45+VS!M45+VS!N45</f>
        <v>0</v>
      </c>
      <c r="K48" s="454"/>
      <c r="L48" s="8">
        <f t="shared" si="27"/>
        <v>0</v>
      </c>
      <c r="M48" s="8">
        <f t="shared" si="20"/>
        <v>0</v>
      </c>
      <c r="N48" s="8">
        <f t="shared" si="28"/>
        <v>0</v>
      </c>
      <c r="O48" s="8">
        <f t="shared" si="29"/>
        <v>0</v>
      </c>
    </row>
    <row r="49" spans="1:15" x14ac:dyDescent="0.25">
      <c r="A49" s="18" t="s">
        <v>48</v>
      </c>
      <c r="B49" s="33">
        <f>'F100'!C46+'F100'!D46+'F100'!E46</f>
        <v>0</v>
      </c>
      <c r="C49" s="33">
        <f>'F100'!D46+'F100'!E46+'F100'!F46</f>
        <v>0</v>
      </c>
      <c r="D49" s="33">
        <f>'F100'!E46+'F100'!F46+'F100'!G46</f>
        <v>0</v>
      </c>
      <c r="E49" s="33">
        <f>'F100'!F46+'F100'!G46+'F100'!H46</f>
        <v>0</v>
      </c>
      <c r="F49" s="454"/>
      <c r="G49" s="33">
        <f>VS!C46+VS!D46+VS!E46</f>
        <v>0</v>
      </c>
      <c r="H49" s="33">
        <f>VS!F46+VS!G46+VS!H46</f>
        <v>0</v>
      </c>
      <c r="I49" s="33">
        <f>VS!I46+VS!J46+VS!K46</f>
        <v>0</v>
      </c>
      <c r="J49" s="34">
        <f>VS!L46+VS!M46+VS!N46</f>
        <v>0</v>
      </c>
      <c r="K49" s="454"/>
      <c r="L49" s="8">
        <f t="shared" si="27"/>
        <v>0</v>
      </c>
      <c r="M49" s="8">
        <f t="shared" si="20"/>
        <v>0</v>
      </c>
      <c r="N49" s="8">
        <f t="shared" si="28"/>
        <v>0</v>
      </c>
      <c r="O49" s="8">
        <f t="shared" si="29"/>
        <v>0</v>
      </c>
    </row>
    <row r="50" spans="1:15" x14ac:dyDescent="0.25">
      <c r="A50" s="18" t="s">
        <v>49</v>
      </c>
      <c r="B50" s="33">
        <f>'F100'!C47+'F100'!D47+'F100'!E47</f>
        <v>0</v>
      </c>
      <c r="C50" s="33">
        <f>'F100'!D47+'F100'!E47+'F100'!F47</f>
        <v>0</v>
      </c>
      <c r="D50" s="33">
        <f>'F100'!E47+'F100'!F47+'F100'!G47</f>
        <v>0</v>
      </c>
      <c r="E50" s="33">
        <f>'F100'!F47+'F100'!G47+'F100'!H47</f>
        <v>0</v>
      </c>
      <c r="F50" s="454"/>
      <c r="G50" s="33">
        <f>VS!C47+VS!D47+VS!E47</f>
        <v>0</v>
      </c>
      <c r="H50" s="33">
        <f>VS!F47+VS!G47+VS!H47</f>
        <v>0</v>
      </c>
      <c r="I50" s="33">
        <f>VS!I47+VS!J47+VS!K47</f>
        <v>0</v>
      </c>
      <c r="J50" s="34">
        <f>VS!L47+VS!M47+VS!N47</f>
        <v>0</v>
      </c>
      <c r="K50" s="454"/>
      <c r="L50" s="8">
        <f t="shared" si="27"/>
        <v>0</v>
      </c>
      <c r="M50" s="8">
        <f t="shared" si="20"/>
        <v>0</v>
      </c>
      <c r="N50" s="8">
        <f t="shared" si="28"/>
        <v>0</v>
      </c>
      <c r="O50" s="8">
        <f t="shared" si="29"/>
        <v>0</v>
      </c>
    </row>
    <row r="51" spans="1:15" x14ac:dyDescent="0.25">
      <c r="A51" s="18" t="s">
        <v>50</v>
      </c>
      <c r="B51" s="33">
        <f>'F100'!C48+'F100'!D48+'F100'!E48</f>
        <v>0</v>
      </c>
      <c r="C51" s="33">
        <f>'F100'!D48+'F100'!E48+'F100'!F48</f>
        <v>0</v>
      </c>
      <c r="D51" s="33">
        <f>'F100'!E48+'F100'!F48+'F100'!G48</f>
        <v>0</v>
      </c>
      <c r="E51" s="33">
        <f>'F100'!F48+'F100'!G48+'F100'!H48</f>
        <v>0</v>
      </c>
      <c r="F51" s="454"/>
      <c r="G51" s="33">
        <f>VS!C48+VS!D48+VS!E48</f>
        <v>0</v>
      </c>
      <c r="H51" s="33">
        <f>VS!F48+VS!G48+VS!H48</f>
        <v>0</v>
      </c>
      <c r="I51" s="33">
        <f>VS!I48+VS!J48+VS!K48</f>
        <v>0</v>
      </c>
      <c r="J51" s="34">
        <f>VS!L48+VS!M48+VS!N48</f>
        <v>0</v>
      </c>
      <c r="K51" s="454"/>
      <c r="L51" s="8">
        <f t="shared" si="27"/>
        <v>0</v>
      </c>
      <c r="M51" s="8">
        <f t="shared" si="20"/>
        <v>0</v>
      </c>
      <c r="N51" s="8">
        <f t="shared" si="28"/>
        <v>0</v>
      </c>
      <c r="O51" s="8">
        <f t="shared" si="29"/>
        <v>0</v>
      </c>
    </row>
    <row r="52" spans="1:15" x14ac:dyDescent="0.25">
      <c r="A52" s="18" t="s">
        <v>51</v>
      </c>
      <c r="B52" s="33">
        <f>'F100'!C49+'F100'!D49+'F100'!E49</f>
        <v>0</v>
      </c>
      <c r="C52" s="33">
        <f>'F100'!D49+'F100'!E49+'F100'!F49</f>
        <v>0</v>
      </c>
      <c r="D52" s="33">
        <f>'F100'!E49+'F100'!F49+'F100'!G49</f>
        <v>0</v>
      </c>
      <c r="E52" s="33">
        <f>'F100'!F49+'F100'!G49+'F100'!H49</f>
        <v>0</v>
      </c>
      <c r="F52" s="454"/>
      <c r="G52" s="33">
        <f>VS!C49+VS!D49+VS!E49</f>
        <v>0</v>
      </c>
      <c r="H52" s="33">
        <f>VS!F49+VS!G49+VS!H49</f>
        <v>0</v>
      </c>
      <c r="I52" s="33">
        <f>VS!I49+VS!J49+VS!K49</f>
        <v>0</v>
      </c>
      <c r="J52" s="34">
        <f>VS!L49+VS!M49+VS!N49</f>
        <v>0</v>
      </c>
      <c r="K52" s="454"/>
      <c r="L52" s="8">
        <f t="shared" si="27"/>
        <v>0</v>
      </c>
      <c r="M52" s="8">
        <f t="shared" si="20"/>
        <v>0</v>
      </c>
      <c r="N52" s="8">
        <f t="shared" si="28"/>
        <v>0</v>
      </c>
      <c r="O52" s="8">
        <f t="shared" si="29"/>
        <v>0</v>
      </c>
    </row>
    <row r="53" spans="1:15" x14ac:dyDescent="0.25">
      <c r="A53" s="18" t="s">
        <v>52</v>
      </c>
      <c r="B53" s="33">
        <f>'F100'!C50+'F100'!D50+'F100'!E50</f>
        <v>0</v>
      </c>
      <c r="C53" s="33">
        <f>'F100'!D50+'F100'!E50+'F100'!F50</f>
        <v>0</v>
      </c>
      <c r="D53" s="33">
        <f>'F100'!E50+'F100'!F50+'F100'!G50</f>
        <v>0</v>
      </c>
      <c r="E53" s="33">
        <f>'F100'!F50+'F100'!G50+'F100'!H50</f>
        <v>0</v>
      </c>
      <c r="F53" s="454"/>
      <c r="G53" s="33">
        <f>VS!C50+VS!D50+VS!E50</f>
        <v>0</v>
      </c>
      <c r="H53" s="33">
        <f>VS!F50+VS!G50+VS!H50</f>
        <v>0</v>
      </c>
      <c r="I53" s="33">
        <f>VS!I50+VS!J50+VS!K50</f>
        <v>0</v>
      </c>
      <c r="J53" s="34">
        <f>VS!L50+VS!M50+VS!N50</f>
        <v>0</v>
      </c>
      <c r="K53" s="454"/>
      <c r="L53" s="8">
        <f t="shared" si="27"/>
        <v>0</v>
      </c>
      <c r="M53" s="8">
        <f t="shared" si="20"/>
        <v>0</v>
      </c>
      <c r="N53" s="8">
        <f t="shared" si="28"/>
        <v>0</v>
      </c>
      <c r="O53" s="8">
        <f t="shared" si="29"/>
        <v>0</v>
      </c>
    </row>
    <row r="54" spans="1:15" s="11" customFormat="1" x14ac:dyDescent="0.25">
      <c r="A54" s="9" t="s">
        <v>28</v>
      </c>
      <c r="B54" s="32">
        <f>SUM(B55:B63)</f>
        <v>0</v>
      </c>
      <c r="C54" s="32">
        <f t="shared" ref="C54:E54" si="30">SUM(C55:C63)</f>
        <v>0</v>
      </c>
      <c r="D54" s="32">
        <f t="shared" si="30"/>
        <v>0</v>
      </c>
      <c r="E54" s="32">
        <f t="shared" si="30"/>
        <v>0</v>
      </c>
      <c r="F54" s="454"/>
      <c r="G54" s="32">
        <f t="shared" ref="G54:J54" si="31">SUM(G55:G63)</f>
        <v>5576787.7799999993</v>
      </c>
      <c r="H54" s="32">
        <f t="shared" si="31"/>
        <v>2634921.87</v>
      </c>
      <c r="I54" s="32">
        <f t="shared" si="31"/>
        <v>3919387.1</v>
      </c>
      <c r="J54" s="32">
        <f t="shared" si="31"/>
        <v>5642312.9600000009</v>
      </c>
      <c r="K54" s="454"/>
      <c r="L54" s="35">
        <f>SUM(B54+G54)</f>
        <v>5576787.7799999993</v>
      </c>
      <c r="M54" s="35">
        <f t="shared" ref="M54:O63" si="32">SUM(C54+H54)</f>
        <v>2634921.87</v>
      </c>
      <c r="N54" s="35">
        <f t="shared" si="32"/>
        <v>3919387.1</v>
      </c>
      <c r="O54" s="35">
        <f t="shared" si="32"/>
        <v>5642312.9600000009</v>
      </c>
    </row>
    <row r="55" spans="1:15" x14ac:dyDescent="0.25">
      <c r="A55" s="5" t="s">
        <v>29</v>
      </c>
      <c r="B55" s="33">
        <f>'F100'!C52+'F100'!D52+'F100'!E52</f>
        <v>0</v>
      </c>
      <c r="C55" s="33">
        <f>'F100'!D52+'F100'!E52+'F100'!F52</f>
        <v>0</v>
      </c>
      <c r="D55" s="33">
        <f>'F100'!E52+'F100'!F52+'F100'!G52</f>
        <v>0</v>
      </c>
      <c r="E55" s="33">
        <f>'F100'!F52+'F100'!G52+'F100'!H52</f>
        <v>0</v>
      </c>
      <c r="F55" s="454"/>
      <c r="G55" s="33">
        <f>VS!C52+VS!D52+VS!E52</f>
        <v>1280258.3</v>
      </c>
      <c r="H55" s="33">
        <f>VS!F52+VS!G52+VS!H52</f>
        <v>758428.04</v>
      </c>
      <c r="I55" s="33">
        <f>VS!I52+VS!J52+VS!K52</f>
        <v>1176023.25</v>
      </c>
      <c r="J55" s="34">
        <f>VS!L52+VS!M52+VS!N52</f>
        <v>1493109.7999999998</v>
      </c>
      <c r="K55" s="454"/>
      <c r="L55" s="8">
        <f t="shared" ref="L55:L63" si="33">SUM(B55+G55)</f>
        <v>1280258.3</v>
      </c>
      <c r="M55" s="8">
        <f t="shared" si="32"/>
        <v>758428.04</v>
      </c>
      <c r="N55" s="8">
        <f t="shared" si="32"/>
        <v>1176023.25</v>
      </c>
      <c r="O55" s="8">
        <f t="shared" si="32"/>
        <v>1493109.7999999998</v>
      </c>
    </row>
    <row r="56" spans="1:15" x14ac:dyDescent="0.25">
      <c r="A56" s="5" t="s">
        <v>30</v>
      </c>
      <c r="B56" s="33">
        <f>'F100'!C53+'F100'!D53+'F100'!E53</f>
        <v>0</v>
      </c>
      <c r="C56" s="33">
        <f>'F100'!D53+'F100'!E53+'F100'!F53</f>
        <v>0</v>
      </c>
      <c r="D56" s="33">
        <f>'F100'!E53+'F100'!F53+'F100'!G53</f>
        <v>0</v>
      </c>
      <c r="E56" s="33">
        <f>'F100'!F53+'F100'!G53+'F100'!H53</f>
        <v>0</v>
      </c>
      <c r="F56" s="454"/>
      <c r="G56" s="33">
        <f>VS!C53+VS!D53+VS!E53</f>
        <v>0</v>
      </c>
      <c r="H56" s="33">
        <f>VS!F53+VS!G53+VS!H53</f>
        <v>0</v>
      </c>
      <c r="I56" s="33">
        <f>VS!I53+VS!J53+VS!K53</f>
        <v>0</v>
      </c>
      <c r="J56" s="34">
        <f>VS!L53+VS!M53+VS!N53</f>
        <v>0</v>
      </c>
      <c r="K56" s="454"/>
      <c r="L56" s="8">
        <f t="shared" si="33"/>
        <v>0</v>
      </c>
      <c r="M56" s="8">
        <f t="shared" si="32"/>
        <v>0</v>
      </c>
      <c r="N56" s="8">
        <f t="shared" si="32"/>
        <v>0</v>
      </c>
      <c r="O56" s="8">
        <f t="shared" si="32"/>
        <v>0</v>
      </c>
    </row>
    <row r="57" spans="1:15" x14ac:dyDescent="0.25">
      <c r="A57" s="5" t="s">
        <v>31</v>
      </c>
      <c r="B57" s="33">
        <f>'F100'!C54+'F100'!D54+'F100'!E54</f>
        <v>0</v>
      </c>
      <c r="C57" s="33">
        <f>'F100'!D54+'F100'!E54+'F100'!F54</f>
        <v>0</v>
      </c>
      <c r="D57" s="33">
        <f>'F100'!E54+'F100'!F54+'F100'!G54</f>
        <v>0</v>
      </c>
      <c r="E57" s="33">
        <f>'F100'!F54+'F100'!G54+'F100'!H54</f>
        <v>0</v>
      </c>
      <c r="F57" s="454"/>
      <c r="G57" s="33">
        <f>VS!C54+VS!D54+VS!E54</f>
        <v>350999.99</v>
      </c>
      <c r="H57" s="33">
        <f>VS!F54+VS!G54+VS!H54</f>
        <v>1025427.1</v>
      </c>
      <c r="I57" s="33">
        <f>VS!I54+VS!J54+VS!K54</f>
        <v>2424514.16</v>
      </c>
      <c r="J57" s="34">
        <f>VS!L54+VS!M54+VS!N54</f>
        <v>1873965.03</v>
      </c>
      <c r="K57" s="454"/>
      <c r="L57" s="8">
        <f t="shared" si="33"/>
        <v>350999.99</v>
      </c>
      <c r="M57" s="8">
        <f t="shared" si="32"/>
        <v>1025427.1</v>
      </c>
      <c r="N57" s="8">
        <f t="shared" si="32"/>
        <v>2424514.16</v>
      </c>
      <c r="O57" s="8">
        <f t="shared" si="32"/>
        <v>1873965.03</v>
      </c>
    </row>
    <row r="58" spans="1:15" x14ac:dyDescent="0.25">
      <c r="A58" s="5" t="s">
        <v>32</v>
      </c>
      <c r="B58" s="33">
        <f>'F100'!C55+'F100'!D55+'F100'!E55</f>
        <v>0</v>
      </c>
      <c r="C58" s="33">
        <f>'F100'!D55+'F100'!E55+'F100'!F55</f>
        <v>0</v>
      </c>
      <c r="D58" s="33">
        <f>'F100'!E55+'F100'!F55+'F100'!G55</f>
        <v>0</v>
      </c>
      <c r="E58" s="33">
        <f>'F100'!F55+'F100'!G55+'F100'!H55</f>
        <v>0</v>
      </c>
      <c r="F58" s="454"/>
      <c r="G58" s="33">
        <f>VS!C55+VS!D55+VS!E55</f>
        <v>0</v>
      </c>
      <c r="H58" s="33">
        <f>VS!F55+VS!G55+VS!H55</f>
        <v>0</v>
      </c>
      <c r="I58" s="33">
        <f>VS!I55+VS!J55+VS!K55</f>
        <v>0</v>
      </c>
      <c r="J58" s="34">
        <f>VS!L55+VS!M55+VS!N55</f>
        <v>0</v>
      </c>
      <c r="K58" s="454"/>
      <c r="L58" s="8">
        <f t="shared" si="33"/>
        <v>0</v>
      </c>
      <c r="M58" s="8">
        <f t="shared" si="32"/>
        <v>0</v>
      </c>
      <c r="N58" s="8">
        <f t="shared" si="32"/>
        <v>0</v>
      </c>
      <c r="O58" s="8">
        <f t="shared" si="32"/>
        <v>0</v>
      </c>
    </row>
    <row r="59" spans="1:15" x14ac:dyDescent="0.25">
      <c r="A59" s="5" t="s">
        <v>33</v>
      </c>
      <c r="B59" s="33">
        <f>'F100'!C56+'F100'!D56+'F100'!E56</f>
        <v>0</v>
      </c>
      <c r="C59" s="33">
        <f>'F100'!D56+'F100'!E56+'F100'!F56</f>
        <v>0</v>
      </c>
      <c r="D59" s="33">
        <f>'F100'!E56+'F100'!F56+'F100'!G56</f>
        <v>0</v>
      </c>
      <c r="E59" s="33">
        <f>'F100'!F56+'F100'!G56+'F100'!H56</f>
        <v>0</v>
      </c>
      <c r="F59" s="454"/>
      <c r="G59" s="33">
        <f>VS!C56+VS!D56+VS!E56</f>
        <v>2370282.0099999998</v>
      </c>
      <c r="H59" s="33">
        <f>VS!F56+VS!G56+VS!H56</f>
        <v>0</v>
      </c>
      <c r="I59" s="33">
        <f>VS!I56+VS!J56+VS!K56</f>
        <v>318849.69</v>
      </c>
      <c r="J59" s="34">
        <f>VS!L56+VS!M56+VS!N56</f>
        <v>1182097.6500000001</v>
      </c>
      <c r="K59" s="454"/>
      <c r="L59" s="8">
        <f t="shared" si="33"/>
        <v>2370282.0099999998</v>
      </c>
      <c r="M59" s="8">
        <f t="shared" si="32"/>
        <v>0</v>
      </c>
      <c r="N59" s="8">
        <f t="shared" si="32"/>
        <v>318849.69</v>
      </c>
      <c r="O59" s="8">
        <f t="shared" si="32"/>
        <v>1182097.6500000001</v>
      </c>
    </row>
    <row r="60" spans="1:15" x14ac:dyDescent="0.25">
      <c r="A60" s="5" t="s">
        <v>53</v>
      </c>
      <c r="B60" s="33">
        <f>'F100'!C57+'F100'!D57+'F100'!E57</f>
        <v>0</v>
      </c>
      <c r="C60" s="33">
        <f>'F100'!D57+'F100'!E57+'F100'!F57</f>
        <v>0</v>
      </c>
      <c r="D60" s="33">
        <f>'F100'!E57+'F100'!F57+'F100'!G57</f>
        <v>0</v>
      </c>
      <c r="E60" s="33">
        <f>'F100'!F57+'F100'!G57+'F100'!H57</f>
        <v>0</v>
      </c>
      <c r="F60" s="454"/>
      <c r="G60" s="33">
        <f>VS!C57+VS!D57+VS!E57</f>
        <v>851066.73</v>
      </c>
      <c r="H60" s="33">
        <f>VS!F57+VS!G57+VS!H57</f>
        <v>851066.73</v>
      </c>
      <c r="I60" s="33">
        <f>VS!I57+VS!J57+VS!K57</f>
        <v>0</v>
      </c>
      <c r="J60" s="34">
        <f>VS!L57+VS!M57+VS!N57</f>
        <v>0</v>
      </c>
      <c r="K60" s="454"/>
      <c r="L60" s="8">
        <f t="shared" si="33"/>
        <v>851066.73</v>
      </c>
      <c r="M60" s="8">
        <f t="shared" si="32"/>
        <v>851066.73</v>
      </c>
      <c r="N60" s="8">
        <f t="shared" si="32"/>
        <v>0</v>
      </c>
      <c r="O60" s="8">
        <f t="shared" si="32"/>
        <v>0</v>
      </c>
    </row>
    <row r="61" spans="1:15" x14ac:dyDescent="0.25">
      <c r="A61" s="5" t="s">
        <v>54</v>
      </c>
      <c r="B61" s="33">
        <f>'F100'!C58+'F100'!D58+'F100'!E58</f>
        <v>0</v>
      </c>
      <c r="C61" s="33">
        <f>'F100'!D58+'F100'!E58+'F100'!F58</f>
        <v>0</v>
      </c>
      <c r="D61" s="33">
        <f>'F100'!E58+'F100'!F58+'F100'!G58</f>
        <v>0</v>
      </c>
      <c r="E61" s="33">
        <f>'F100'!F58+'F100'!G58+'F100'!H58</f>
        <v>0</v>
      </c>
      <c r="F61" s="454"/>
      <c r="G61" s="33">
        <f>VS!C58+VS!D58+VS!E58</f>
        <v>0</v>
      </c>
      <c r="H61" s="33">
        <f>VS!F58+VS!G58+VS!H58</f>
        <v>0</v>
      </c>
      <c r="I61" s="33">
        <f>VS!I58+VS!J58+VS!K58</f>
        <v>0</v>
      </c>
      <c r="J61" s="34">
        <f>VS!L58+VS!M58+VS!N58</f>
        <v>0</v>
      </c>
      <c r="K61" s="454"/>
      <c r="L61" s="8">
        <f t="shared" si="33"/>
        <v>0</v>
      </c>
      <c r="M61" s="8">
        <f t="shared" si="32"/>
        <v>0</v>
      </c>
      <c r="N61" s="8">
        <f t="shared" si="32"/>
        <v>0</v>
      </c>
      <c r="O61" s="8">
        <f t="shared" si="32"/>
        <v>0</v>
      </c>
    </row>
    <row r="62" spans="1:15" x14ac:dyDescent="0.25">
      <c r="A62" s="5" t="s">
        <v>34</v>
      </c>
      <c r="B62" s="33">
        <f>'F100'!C59+'F100'!D59+'F100'!E59</f>
        <v>0</v>
      </c>
      <c r="C62" s="33">
        <f>'F100'!D59+'F100'!E59+'F100'!F59</f>
        <v>0</v>
      </c>
      <c r="D62" s="33">
        <f>'F100'!E59+'F100'!F59+'F100'!G59</f>
        <v>0</v>
      </c>
      <c r="E62" s="33">
        <f>'F100'!F59+'F100'!G59+'F100'!H59</f>
        <v>0</v>
      </c>
      <c r="F62" s="454"/>
      <c r="G62" s="33">
        <f>VS!C59+VS!D59+VS!E59</f>
        <v>724180.75</v>
      </c>
      <c r="H62" s="33">
        <f>VS!F59+VS!G59+VS!H59</f>
        <v>0</v>
      </c>
      <c r="I62" s="33">
        <f>VS!I59+VS!J59+VS!K59</f>
        <v>0</v>
      </c>
      <c r="J62" s="34">
        <f>VS!L59+VS!M59+VS!N59</f>
        <v>1093140.48</v>
      </c>
      <c r="K62" s="454"/>
      <c r="L62" s="8">
        <f t="shared" si="33"/>
        <v>724180.75</v>
      </c>
      <c r="M62" s="8">
        <f t="shared" si="32"/>
        <v>0</v>
      </c>
      <c r="N62" s="8">
        <f t="shared" si="32"/>
        <v>0</v>
      </c>
      <c r="O62" s="8">
        <f t="shared" si="32"/>
        <v>1093140.48</v>
      </c>
    </row>
    <row r="63" spans="1:15" x14ac:dyDescent="0.25">
      <c r="A63" s="5" t="s">
        <v>55</v>
      </c>
      <c r="B63" s="33">
        <f>'F100'!C60+'F100'!D60+'F100'!E60</f>
        <v>0</v>
      </c>
      <c r="C63" s="33">
        <f>'F100'!D60+'F100'!E60+'F100'!F60</f>
        <v>0</v>
      </c>
      <c r="D63" s="33">
        <f>'F100'!E60+'F100'!F60+'F100'!G60</f>
        <v>0</v>
      </c>
      <c r="E63" s="33">
        <f>'F100'!F60+'F100'!G60+'F100'!H60</f>
        <v>0</v>
      </c>
      <c r="F63" s="454"/>
      <c r="G63" s="33">
        <f>VS!C60+VS!D60+VS!E60</f>
        <v>0</v>
      </c>
      <c r="H63" s="33">
        <f>VS!F60+VS!G60+VS!H60</f>
        <v>0</v>
      </c>
      <c r="I63" s="33">
        <f>VS!I60+VS!J60+VS!K60</f>
        <v>0</v>
      </c>
      <c r="J63" s="34">
        <f>VS!L60+VS!M60+VS!N60</f>
        <v>0</v>
      </c>
      <c r="K63" s="454"/>
      <c r="L63" s="8">
        <f t="shared" si="33"/>
        <v>0</v>
      </c>
      <c r="M63" s="8">
        <f t="shared" si="32"/>
        <v>0</v>
      </c>
      <c r="N63" s="8">
        <f t="shared" si="32"/>
        <v>0</v>
      </c>
      <c r="O63" s="8">
        <f t="shared" si="32"/>
        <v>0</v>
      </c>
    </row>
    <row r="64" spans="1:15" s="11" customFormat="1" x14ac:dyDescent="0.25">
      <c r="A64" s="9" t="s">
        <v>56</v>
      </c>
      <c r="B64" s="32">
        <f>SUM(B65:B68)</f>
        <v>0</v>
      </c>
      <c r="C64" s="32">
        <f t="shared" ref="C64:E64" si="34">SUM(C65:C68)</f>
        <v>0</v>
      </c>
      <c r="D64" s="32">
        <f t="shared" si="34"/>
        <v>0</v>
      </c>
      <c r="E64" s="32">
        <f t="shared" si="34"/>
        <v>0</v>
      </c>
      <c r="F64" s="454"/>
      <c r="G64" s="32">
        <f t="shared" ref="G64:J64" si="35">SUM(G65:G68)</f>
        <v>0</v>
      </c>
      <c r="H64" s="32">
        <f t="shared" si="35"/>
        <v>0</v>
      </c>
      <c r="I64" s="32">
        <f t="shared" si="35"/>
        <v>0</v>
      </c>
      <c r="J64" s="32">
        <f t="shared" si="35"/>
        <v>0</v>
      </c>
      <c r="K64" s="454"/>
      <c r="L64" s="10">
        <f>SUM(B64+G64)</f>
        <v>0</v>
      </c>
      <c r="M64" s="10">
        <f t="shared" ref="M64:O69" si="36">SUM(C64+H64)</f>
        <v>0</v>
      </c>
      <c r="N64" s="10">
        <f t="shared" si="36"/>
        <v>0</v>
      </c>
      <c r="O64" s="10">
        <f t="shared" si="36"/>
        <v>0</v>
      </c>
    </row>
    <row r="65" spans="1:15" x14ac:dyDescent="0.25">
      <c r="A65" s="5" t="s">
        <v>57</v>
      </c>
      <c r="B65" s="33">
        <f>'F100'!C62+'F100'!D62+'F100'!E62</f>
        <v>0</v>
      </c>
      <c r="C65" s="33">
        <f>'F100'!D62+'F100'!E62+'F100'!F62</f>
        <v>0</v>
      </c>
      <c r="D65" s="33">
        <f>'F100'!E62+'F100'!F62+'F100'!G62</f>
        <v>0</v>
      </c>
      <c r="E65" s="33">
        <f>'F100'!F62+'F100'!G62+'F100'!H62</f>
        <v>0</v>
      </c>
      <c r="F65" s="454"/>
      <c r="G65" s="33">
        <f>VS!C62+VS!D62+VS!E62</f>
        <v>0</v>
      </c>
      <c r="H65" s="33">
        <f>VS!D62+VS!E62+VS!F62</f>
        <v>0</v>
      </c>
      <c r="I65" s="33">
        <f>VS!I62+VS!J62+VS!K62</f>
        <v>0</v>
      </c>
      <c r="J65" s="34">
        <f>VS!L62+VS!M62+VS!N62</f>
        <v>0</v>
      </c>
      <c r="K65" s="454"/>
      <c r="L65" s="8">
        <f t="shared" ref="L65:L68" si="37">SUM(B65+G65)</f>
        <v>0</v>
      </c>
      <c r="M65" s="8">
        <f t="shared" si="36"/>
        <v>0</v>
      </c>
      <c r="N65" s="8">
        <f t="shared" si="36"/>
        <v>0</v>
      </c>
      <c r="O65" s="8">
        <f t="shared" si="36"/>
        <v>0</v>
      </c>
    </row>
    <row r="66" spans="1:15" x14ac:dyDescent="0.25">
      <c r="A66" s="5" t="s">
        <v>58</v>
      </c>
      <c r="B66" s="33">
        <f>'F100'!C63+'F100'!D63+'F100'!E63</f>
        <v>0</v>
      </c>
      <c r="C66" s="33">
        <f>'F100'!D63+'F100'!E63+'F100'!F63</f>
        <v>0</v>
      </c>
      <c r="D66" s="33">
        <f>'F100'!E63+'F100'!F63+'F100'!G63</f>
        <v>0</v>
      </c>
      <c r="E66" s="33">
        <f>'F100'!F63+'F100'!G63+'F100'!H63</f>
        <v>0</v>
      </c>
      <c r="F66" s="454"/>
      <c r="G66" s="33">
        <f>VS!C63+VS!D63+VS!E63</f>
        <v>0</v>
      </c>
      <c r="H66" s="33">
        <f>VS!D63+VS!E63+VS!F63</f>
        <v>0</v>
      </c>
      <c r="I66" s="33">
        <f>VS!I63+VS!J63+VS!K63</f>
        <v>0</v>
      </c>
      <c r="J66" s="34">
        <f>VS!L63+VS!M63+VS!N63</f>
        <v>0</v>
      </c>
      <c r="K66" s="454"/>
      <c r="L66" s="8">
        <f t="shared" si="37"/>
        <v>0</v>
      </c>
      <c r="M66" s="8">
        <f t="shared" si="36"/>
        <v>0</v>
      </c>
      <c r="N66" s="8">
        <f t="shared" si="36"/>
        <v>0</v>
      </c>
      <c r="O66" s="8">
        <f t="shared" si="36"/>
        <v>0</v>
      </c>
    </row>
    <row r="67" spans="1:15" x14ac:dyDescent="0.25">
      <c r="A67" s="5" t="s">
        <v>59</v>
      </c>
      <c r="B67" s="33">
        <f>'F100'!C64+'F100'!D64+'F100'!E64</f>
        <v>0</v>
      </c>
      <c r="C67" s="33">
        <f>'F100'!D64+'F100'!E64+'F100'!F64</f>
        <v>0</v>
      </c>
      <c r="D67" s="33">
        <f>'F100'!E64+'F100'!F64+'F100'!G64</f>
        <v>0</v>
      </c>
      <c r="E67" s="33">
        <f>'F100'!F64+'F100'!G64+'F100'!H64</f>
        <v>0</v>
      </c>
      <c r="F67" s="454"/>
      <c r="G67" s="33">
        <f>VS!C64+VS!D64+VS!E64</f>
        <v>0</v>
      </c>
      <c r="H67" s="33">
        <f>VS!D64+VS!E64+VS!F64</f>
        <v>0</v>
      </c>
      <c r="I67" s="33">
        <f>VS!I64+VS!J64+VS!K64</f>
        <v>0</v>
      </c>
      <c r="J67" s="34">
        <f>VS!L64+VS!M64+VS!N64</f>
        <v>0</v>
      </c>
      <c r="K67" s="454"/>
      <c r="L67" s="8">
        <f t="shared" si="37"/>
        <v>0</v>
      </c>
      <c r="M67" s="8">
        <f t="shared" si="36"/>
        <v>0</v>
      </c>
      <c r="N67" s="8">
        <f t="shared" si="36"/>
        <v>0</v>
      </c>
      <c r="O67" s="8">
        <f t="shared" si="36"/>
        <v>0</v>
      </c>
    </row>
    <row r="68" spans="1:15" ht="30" x14ac:dyDescent="0.25">
      <c r="A68" s="5" t="s">
        <v>60</v>
      </c>
      <c r="B68" s="33">
        <f>'F100'!C65+'F100'!D65+'F100'!E65</f>
        <v>0</v>
      </c>
      <c r="C68" s="33">
        <f>'F100'!D65+'F100'!E65+'F100'!F65</f>
        <v>0</v>
      </c>
      <c r="D68" s="33">
        <f>'F100'!E65+'F100'!F65+'F100'!G65</f>
        <v>0</v>
      </c>
      <c r="E68" s="33">
        <f>'F100'!F65+'F100'!G65+'F100'!H65</f>
        <v>0</v>
      </c>
      <c r="F68" s="454"/>
      <c r="G68" s="33">
        <f>VS!C65+VS!D65+VS!E65</f>
        <v>0</v>
      </c>
      <c r="H68" s="33">
        <f>VS!D65+VS!E65+VS!F65</f>
        <v>0</v>
      </c>
      <c r="I68" s="33">
        <f>VS!I65+VS!J65+VS!K65</f>
        <v>0</v>
      </c>
      <c r="J68" s="34">
        <f>VS!L65+VS!M65+VS!N65</f>
        <v>0</v>
      </c>
      <c r="K68" s="454"/>
      <c r="L68" s="8">
        <f t="shared" si="37"/>
        <v>0</v>
      </c>
      <c r="M68" s="8">
        <f t="shared" si="36"/>
        <v>0</v>
      </c>
      <c r="N68" s="8">
        <f t="shared" si="36"/>
        <v>0</v>
      </c>
      <c r="O68" s="8">
        <f t="shared" si="36"/>
        <v>0</v>
      </c>
    </row>
    <row r="69" spans="1:15" s="11" customFormat="1" x14ac:dyDescent="0.25">
      <c r="A69" s="9" t="s">
        <v>61</v>
      </c>
      <c r="B69" s="32">
        <f>SUM(B70:B71)</f>
        <v>0</v>
      </c>
      <c r="C69" s="32">
        <f t="shared" ref="C69:E69" si="38">SUM(C70:C71)</f>
        <v>0</v>
      </c>
      <c r="D69" s="32">
        <f t="shared" si="38"/>
        <v>0</v>
      </c>
      <c r="E69" s="32">
        <f t="shared" si="38"/>
        <v>0</v>
      </c>
      <c r="F69" s="454"/>
      <c r="G69" s="32">
        <f t="shared" ref="G69:J69" si="39">SUM(G70:G71)</f>
        <v>0</v>
      </c>
      <c r="H69" s="32">
        <f t="shared" si="39"/>
        <v>0</v>
      </c>
      <c r="I69" s="32">
        <f t="shared" si="39"/>
        <v>0</v>
      </c>
      <c r="J69" s="32">
        <f t="shared" si="39"/>
        <v>0</v>
      </c>
      <c r="K69" s="454"/>
      <c r="L69" s="10">
        <f>SUM(B69+G69)</f>
        <v>0</v>
      </c>
      <c r="M69" s="10">
        <f t="shared" si="36"/>
        <v>0</v>
      </c>
      <c r="N69" s="10">
        <f t="shared" si="36"/>
        <v>0</v>
      </c>
      <c r="O69" s="10">
        <f t="shared" si="36"/>
        <v>0</v>
      </c>
    </row>
    <row r="70" spans="1:15" x14ac:dyDescent="0.25">
      <c r="A70" s="5" t="s">
        <v>62</v>
      </c>
      <c r="B70" s="33">
        <f>'F100'!C67+'F100'!D67+'F100'!E67</f>
        <v>0</v>
      </c>
      <c r="C70" s="33">
        <f>'F100'!D67+'F100'!E67+'F100'!F67</f>
        <v>0</v>
      </c>
      <c r="D70" s="33">
        <f>'F100'!E67+'F100'!F67+'F100'!G67</f>
        <v>0</v>
      </c>
      <c r="E70" s="33">
        <f>'F100'!F67+'F100'!G67+'F100'!H67</f>
        <v>0</v>
      </c>
      <c r="F70" s="454"/>
      <c r="G70" s="33">
        <f>VS!C67+VS!D67+VS!E67</f>
        <v>0</v>
      </c>
      <c r="H70" s="33">
        <f>VS!D67+VS!E67+VS!F67</f>
        <v>0</v>
      </c>
      <c r="I70" s="33">
        <f>VS!I67+VS!J67+VS!K67</f>
        <v>0</v>
      </c>
      <c r="J70" s="34">
        <f>VS!L67+VS!M67+VS!N67</f>
        <v>0</v>
      </c>
      <c r="K70" s="454"/>
      <c r="L70" s="8">
        <f t="shared" ref="L70:L71" si="40">SUM(B70+G70)</f>
        <v>0</v>
      </c>
      <c r="M70" s="8">
        <f>SUM(C70+H70)</f>
        <v>0</v>
      </c>
      <c r="N70" s="8">
        <f t="shared" ref="N70:N71" si="41">SUM(D70+I70)</f>
        <v>0</v>
      </c>
      <c r="O70" s="8">
        <f t="shared" ref="O70:O71" si="42">SUM(E70+J70)</f>
        <v>0</v>
      </c>
    </row>
    <row r="71" spans="1:15" x14ac:dyDescent="0.25">
      <c r="A71" s="5" t="s">
        <v>63</v>
      </c>
      <c r="B71" s="33">
        <f>'F100'!C68+'F100'!D68+'F100'!E68</f>
        <v>0</v>
      </c>
      <c r="C71" s="33">
        <f>'F100'!D68+'F100'!E68+'F100'!F68</f>
        <v>0</v>
      </c>
      <c r="D71" s="33">
        <f>'F100'!E68+'F100'!F68+'F100'!G68</f>
        <v>0</v>
      </c>
      <c r="E71" s="33">
        <f>'F100'!F68+'F100'!G68+'F100'!H68</f>
        <v>0</v>
      </c>
      <c r="F71" s="454"/>
      <c r="G71" s="33">
        <f>VS!C68+VS!D68+VS!E68</f>
        <v>0</v>
      </c>
      <c r="H71" s="33">
        <f>VS!D68+VS!E68+VS!F68</f>
        <v>0</v>
      </c>
      <c r="I71" s="33">
        <f>VS!I68+VS!J68+VS!K68</f>
        <v>0</v>
      </c>
      <c r="J71" s="34">
        <f>VS!L68+VS!M68+VS!N68</f>
        <v>0</v>
      </c>
      <c r="K71" s="454"/>
      <c r="L71" s="8">
        <f t="shared" si="40"/>
        <v>0</v>
      </c>
      <c r="M71" s="8">
        <f>SUM(C71+H71)</f>
        <v>0</v>
      </c>
      <c r="N71" s="8">
        <f t="shared" si="41"/>
        <v>0</v>
      </c>
      <c r="O71" s="8">
        <f t="shared" si="42"/>
        <v>0</v>
      </c>
    </row>
    <row r="72" spans="1:15" s="11" customFormat="1" x14ac:dyDescent="0.25">
      <c r="A72" s="9" t="s">
        <v>64</v>
      </c>
      <c r="B72" s="32">
        <f>SUM(B73:B75)</f>
        <v>0</v>
      </c>
      <c r="C72" s="32">
        <f t="shared" ref="C72:E72" si="43">SUM(C73:C75)</f>
        <v>0</v>
      </c>
      <c r="D72" s="32">
        <f t="shared" si="43"/>
        <v>0</v>
      </c>
      <c r="E72" s="32">
        <f t="shared" si="43"/>
        <v>0</v>
      </c>
      <c r="F72" s="454"/>
      <c r="G72" s="32">
        <f t="shared" ref="G72:J72" si="44">SUM(G73:G75)</f>
        <v>0</v>
      </c>
      <c r="H72" s="32">
        <f t="shared" si="44"/>
        <v>0</v>
      </c>
      <c r="I72" s="32">
        <f t="shared" si="44"/>
        <v>0</v>
      </c>
      <c r="J72" s="32">
        <f t="shared" si="44"/>
        <v>0</v>
      </c>
      <c r="K72" s="454"/>
      <c r="L72" s="10">
        <f>SUM(B72+G72)</f>
        <v>0</v>
      </c>
      <c r="M72" s="10">
        <f t="shared" ref="M72:O86" si="45">SUM(C72+H72)</f>
        <v>0</v>
      </c>
      <c r="N72" s="10">
        <f t="shared" si="45"/>
        <v>0</v>
      </c>
      <c r="O72" s="10">
        <f t="shared" si="45"/>
        <v>0</v>
      </c>
    </row>
    <row r="73" spans="1:15" x14ac:dyDescent="0.25">
      <c r="A73" s="5" t="s">
        <v>65</v>
      </c>
      <c r="B73" s="33">
        <f>'F100'!C70+'F100'!D70+'F100'!E70</f>
        <v>0</v>
      </c>
      <c r="C73" s="33">
        <f>'F100'!D70+'F100'!E70+'F100'!F70</f>
        <v>0</v>
      </c>
      <c r="D73" s="33">
        <f>'F100'!E70+'F100'!F70+'F100'!G70</f>
        <v>0</v>
      </c>
      <c r="E73" s="33">
        <f>'F100'!F70+'F100'!G70+'F100'!H70</f>
        <v>0</v>
      </c>
      <c r="F73" s="454"/>
      <c r="G73" s="33">
        <f>VS!C70+VS!D70+VS!E70</f>
        <v>0</v>
      </c>
      <c r="H73" s="33">
        <f>VS!D70+VS!E70+VS!F70</f>
        <v>0</v>
      </c>
      <c r="I73" s="33">
        <f>VS!I70+VS!J70+VS!K70</f>
        <v>0</v>
      </c>
      <c r="J73" s="34">
        <f>VS!L70+VS!M70+VS!N70</f>
        <v>0</v>
      </c>
      <c r="K73" s="454"/>
      <c r="L73" s="8">
        <f t="shared" ref="L73:L75" si="46">SUM(B73+G73)</f>
        <v>0</v>
      </c>
      <c r="M73" s="8">
        <f t="shared" si="45"/>
        <v>0</v>
      </c>
      <c r="N73" s="8">
        <f t="shared" si="45"/>
        <v>0</v>
      </c>
      <c r="O73" s="8">
        <f t="shared" si="45"/>
        <v>0</v>
      </c>
    </row>
    <row r="74" spans="1:15" x14ac:dyDescent="0.25">
      <c r="A74" s="5" t="s">
        <v>66</v>
      </c>
      <c r="B74" s="33">
        <f>'F100'!C71+'F100'!D71+'F100'!E71</f>
        <v>0</v>
      </c>
      <c r="C74" s="33">
        <f>'F100'!D71+'F100'!E71+'F100'!F71</f>
        <v>0</v>
      </c>
      <c r="D74" s="33">
        <f>'F100'!E71+'F100'!F71+'F100'!G71</f>
        <v>0</v>
      </c>
      <c r="E74" s="33">
        <f>'F100'!F71+'F100'!G71+'F100'!H71</f>
        <v>0</v>
      </c>
      <c r="F74" s="454"/>
      <c r="G74" s="33">
        <f>VS!C71+VS!D71+VS!E71</f>
        <v>0</v>
      </c>
      <c r="H74" s="33">
        <f>VS!D71+VS!E71+VS!F71</f>
        <v>0</v>
      </c>
      <c r="I74" s="33">
        <f>VS!I71+VS!J71+VS!K71</f>
        <v>0</v>
      </c>
      <c r="J74" s="34">
        <f>VS!L71+VS!M71+VS!N71</f>
        <v>0</v>
      </c>
      <c r="K74" s="454"/>
      <c r="L74" s="8">
        <f t="shared" si="46"/>
        <v>0</v>
      </c>
      <c r="M74" s="8">
        <f t="shared" si="45"/>
        <v>0</v>
      </c>
      <c r="N74" s="8">
        <f t="shared" si="45"/>
        <v>0</v>
      </c>
      <c r="O74" s="8">
        <f t="shared" si="45"/>
        <v>0</v>
      </c>
    </row>
    <row r="75" spans="1:15" x14ac:dyDescent="0.25">
      <c r="A75" s="5" t="s">
        <v>67</v>
      </c>
      <c r="B75" s="33">
        <f>'F100'!C72+'F100'!D72+'F100'!E72</f>
        <v>0</v>
      </c>
      <c r="C75" s="33">
        <f>'F100'!D72+'F100'!E72+'F100'!F72</f>
        <v>0</v>
      </c>
      <c r="D75" s="33">
        <f>'F100'!E72+'F100'!F72+'F100'!G72</f>
        <v>0</v>
      </c>
      <c r="E75" s="33">
        <f>'F100'!F72+'F100'!G72+'F100'!H72</f>
        <v>0</v>
      </c>
      <c r="F75" s="454"/>
      <c r="G75" s="33">
        <f>VS!C72+VS!D72+VS!E72</f>
        <v>0</v>
      </c>
      <c r="H75" s="33">
        <f>VS!D72+VS!E72+VS!F72</f>
        <v>0</v>
      </c>
      <c r="I75" s="33">
        <f>VS!I72+VS!J72+VS!K72</f>
        <v>0</v>
      </c>
      <c r="J75" s="34">
        <f>VS!L72+VS!M72+VS!N72</f>
        <v>0</v>
      </c>
      <c r="K75" s="454"/>
      <c r="L75" s="8">
        <f t="shared" si="46"/>
        <v>0</v>
      </c>
      <c r="M75" s="8">
        <f t="shared" si="45"/>
        <v>0</v>
      </c>
      <c r="N75" s="8">
        <f t="shared" si="45"/>
        <v>0</v>
      </c>
      <c r="O75" s="8">
        <f t="shared" si="45"/>
        <v>0</v>
      </c>
    </row>
    <row r="76" spans="1:15" s="11" customFormat="1" x14ac:dyDescent="0.25">
      <c r="A76" s="9" t="s">
        <v>35</v>
      </c>
      <c r="B76" s="32">
        <f>+B12+B18+B28+B38+B46+B54+B64+B69+B72</f>
        <v>51259513.759999998</v>
      </c>
      <c r="C76" s="32">
        <f t="shared" ref="C76:E76" si="47">+C12+C18+C28+C38+C46+C54+C64+C69+C72</f>
        <v>33521592.039999999</v>
      </c>
      <c r="D76" s="32">
        <f t="shared" si="47"/>
        <v>84769401.049999997</v>
      </c>
      <c r="E76" s="32">
        <f t="shared" si="47"/>
        <v>75975661.549999997</v>
      </c>
      <c r="F76" s="454"/>
      <c r="G76" s="32">
        <f>+G12+G18+G28+G38+G46+G54+G64+G69+G72</f>
        <v>151068880.12</v>
      </c>
      <c r="H76" s="32">
        <f t="shared" ref="H76:J76" si="48">+H12+H18+H28+H38+H46+H54+H64+H69+H72</f>
        <v>135572063.24000001</v>
      </c>
      <c r="I76" s="32">
        <f t="shared" si="48"/>
        <v>211567409.51099995</v>
      </c>
      <c r="J76" s="32">
        <f t="shared" si="48"/>
        <v>240618811.17600003</v>
      </c>
      <c r="K76" s="454"/>
      <c r="L76" s="10">
        <f>SUM(B76+G76)</f>
        <v>202328393.88</v>
      </c>
      <c r="M76" s="10">
        <f t="shared" si="45"/>
        <v>169093655.28</v>
      </c>
      <c r="N76" s="10">
        <f t="shared" si="45"/>
        <v>296336810.56099993</v>
      </c>
      <c r="O76" s="10">
        <f t="shared" si="45"/>
        <v>316594472.72600001</v>
      </c>
    </row>
    <row r="77" spans="1:15" x14ac:dyDescent="0.25">
      <c r="A77" s="3" t="s">
        <v>68</v>
      </c>
      <c r="B77" s="33">
        <f>'F100'!C74+'F100'!D74+'F100'!E74</f>
        <v>0</v>
      </c>
      <c r="C77" s="33">
        <f>'F100'!D74+'F100'!E74+'F100'!F74</f>
        <v>0</v>
      </c>
      <c r="D77" s="33">
        <f>'F100'!E74+'F100'!F74+'F100'!G74</f>
        <v>0</v>
      </c>
      <c r="E77" s="33">
        <f>'F100'!F74+'F100'!G74+'F100'!H74</f>
        <v>0</v>
      </c>
      <c r="F77" s="454"/>
      <c r="G77" s="33">
        <f>VS!C74+VS!D74+VS!E74</f>
        <v>0</v>
      </c>
      <c r="H77" s="33">
        <v>0</v>
      </c>
      <c r="I77" s="33">
        <f>VS!I74+VS!J74+VS!K74</f>
        <v>0</v>
      </c>
      <c r="J77" s="34">
        <f>VS!L74+VS!M74+VS!N74</f>
        <v>0</v>
      </c>
      <c r="K77" s="454"/>
      <c r="L77" s="8">
        <f t="shared" ref="L77:L85" si="49">SUM(B77+G77)</f>
        <v>0</v>
      </c>
      <c r="M77" s="8">
        <f t="shared" si="45"/>
        <v>0</v>
      </c>
      <c r="N77" s="8">
        <f t="shared" si="45"/>
        <v>0</v>
      </c>
      <c r="O77" s="8">
        <f t="shared" si="45"/>
        <v>0</v>
      </c>
    </row>
    <row r="78" spans="1:15" x14ac:dyDescent="0.25">
      <c r="A78" s="3" t="s">
        <v>69</v>
      </c>
      <c r="B78" s="33">
        <f>'F100'!C75+'F100'!D75+'F100'!E75</f>
        <v>0</v>
      </c>
      <c r="C78" s="33">
        <f>'F100'!D75+'F100'!E75+'F100'!F75</f>
        <v>0</v>
      </c>
      <c r="D78" s="33">
        <f>'F100'!E75+'F100'!F75+'F100'!G75</f>
        <v>0</v>
      </c>
      <c r="E78" s="33">
        <f>'F100'!F75+'F100'!G75+'F100'!H75</f>
        <v>0</v>
      </c>
      <c r="F78" s="454"/>
      <c r="G78" s="33">
        <f>VS!C75+VS!D75+VS!E75</f>
        <v>0</v>
      </c>
      <c r="H78" s="33">
        <v>0</v>
      </c>
      <c r="I78" s="33">
        <f>VS!I75+VS!J75+VS!K75</f>
        <v>0</v>
      </c>
      <c r="J78" s="34">
        <f>VS!L75+VS!M75+VS!N75</f>
        <v>0</v>
      </c>
      <c r="K78" s="454"/>
      <c r="L78" s="8">
        <f t="shared" si="49"/>
        <v>0</v>
      </c>
      <c r="M78" s="8">
        <f t="shared" si="45"/>
        <v>0</v>
      </c>
      <c r="N78" s="8">
        <f t="shared" si="45"/>
        <v>0</v>
      </c>
      <c r="O78" s="8">
        <f t="shared" si="45"/>
        <v>0</v>
      </c>
    </row>
    <row r="79" spans="1:15" x14ac:dyDescent="0.25">
      <c r="A79" s="5" t="s">
        <v>70</v>
      </c>
      <c r="B79" s="33">
        <f>'F100'!C76+'F100'!D76+'F100'!E76</f>
        <v>0</v>
      </c>
      <c r="C79" s="33">
        <f>'F100'!D76+'F100'!E76+'F100'!F76</f>
        <v>0</v>
      </c>
      <c r="D79" s="33">
        <f>'F100'!E76+'F100'!F76+'F100'!G76</f>
        <v>0</v>
      </c>
      <c r="E79" s="33">
        <f>'F100'!F76+'F100'!G76+'F100'!H76</f>
        <v>0</v>
      </c>
      <c r="F79" s="454"/>
      <c r="G79" s="33">
        <f>VS!C76+VS!D76+VS!E76</f>
        <v>0</v>
      </c>
      <c r="H79" s="33">
        <v>0</v>
      </c>
      <c r="I79" s="33">
        <f>VS!I76+VS!J76+VS!K76</f>
        <v>0</v>
      </c>
      <c r="J79" s="34">
        <f>VS!L76+VS!M76+VS!N76</f>
        <v>0</v>
      </c>
      <c r="K79" s="454"/>
      <c r="L79" s="8">
        <f t="shared" si="49"/>
        <v>0</v>
      </c>
      <c r="M79" s="8">
        <f t="shared" si="45"/>
        <v>0</v>
      </c>
      <c r="N79" s="8">
        <f t="shared" si="45"/>
        <v>0</v>
      </c>
      <c r="O79" s="8">
        <f t="shared" si="45"/>
        <v>0</v>
      </c>
    </row>
    <row r="80" spans="1:15" x14ac:dyDescent="0.25">
      <c r="A80" s="5" t="s">
        <v>71</v>
      </c>
      <c r="B80" s="33">
        <f>'F100'!C77+'F100'!D77+'F100'!E77</f>
        <v>0</v>
      </c>
      <c r="C80" s="33">
        <f>'F100'!D77+'F100'!E77+'F100'!F77</f>
        <v>0</v>
      </c>
      <c r="D80" s="33">
        <f>'F100'!E77+'F100'!F77+'F100'!G77</f>
        <v>0</v>
      </c>
      <c r="E80" s="33">
        <f>'F100'!F77+'F100'!G77+'F100'!H77</f>
        <v>0</v>
      </c>
      <c r="F80" s="454"/>
      <c r="G80" s="33">
        <f>VS!C77+VS!D77+VS!E77</f>
        <v>0</v>
      </c>
      <c r="H80" s="33">
        <v>0</v>
      </c>
      <c r="I80" s="33">
        <f>VS!I77+VS!J77+VS!K77</f>
        <v>0</v>
      </c>
      <c r="J80" s="34">
        <f>VS!L77+VS!M77+VS!N77</f>
        <v>0</v>
      </c>
      <c r="K80" s="454"/>
      <c r="L80" s="8">
        <f t="shared" si="49"/>
        <v>0</v>
      </c>
      <c r="M80" s="8">
        <f t="shared" si="45"/>
        <v>0</v>
      </c>
      <c r="N80" s="8">
        <f t="shared" si="45"/>
        <v>0</v>
      </c>
      <c r="O80" s="8">
        <f t="shared" si="45"/>
        <v>0</v>
      </c>
    </row>
    <row r="81" spans="1:15" x14ac:dyDescent="0.25">
      <c r="A81" s="3" t="s">
        <v>72</v>
      </c>
      <c r="B81" s="33">
        <f>'F100'!C78+'F100'!D78+'F100'!E78</f>
        <v>0</v>
      </c>
      <c r="C81" s="33">
        <f>'F100'!D78+'F100'!E78+'F100'!F78</f>
        <v>0</v>
      </c>
      <c r="D81" s="33">
        <f>'F100'!E78+'F100'!F78+'F100'!G78</f>
        <v>0</v>
      </c>
      <c r="E81" s="33">
        <f>'F100'!F78+'F100'!G78+'F100'!H78</f>
        <v>0</v>
      </c>
      <c r="F81" s="454"/>
      <c r="G81" s="33">
        <f>VS!C78+VS!D78+VS!E78</f>
        <v>0</v>
      </c>
      <c r="H81" s="33">
        <v>0</v>
      </c>
      <c r="I81" s="33">
        <f>VS!I78+VS!J78+VS!K78</f>
        <v>0</v>
      </c>
      <c r="J81" s="34">
        <f>VS!L78+VS!M78+VS!N78</f>
        <v>0</v>
      </c>
      <c r="K81" s="454"/>
      <c r="L81" s="8">
        <f t="shared" si="49"/>
        <v>0</v>
      </c>
      <c r="M81" s="8">
        <f t="shared" si="45"/>
        <v>0</v>
      </c>
      <c r="N81" s="8">
        <f t="shared" si="45"/>
        <v>0</v>
      </c>
      <c r="O81" s="8">
        <f t="shared" si="45"/>
        <v>0</v>
      </c>
    </row>
    <row r="82" spans="1:15" x14ac:dyDescent="0.25">
      <c r="A82" s="5" t="s">
        <v>73</v>
      </c>
      <c r="B82" s="33">
        <f>'F100'!C79+'F100'!D79+'F100'!E79</f>
        <v>0</v>
      </c>
      <c r="C82" s="33">
        <f>'F100'!D79+'F100'!E79+'F100'!F79</f>
        <v>0</v>
      </c>
      <c r="D82" s="33">
        <f>'F100'!E79+'F100'!F79+'F100'!G79</f>
        <v>0</v>
      </c>
      <c r="E82" s="33">
        <f>'F100'!F79+'F100'!G79+'F100'!H79</f>
        <v>0</v>
      </c>
      <c r="F82" s="454"/>
      <c r="G82" s="33">
        <f>VS!C79+VS!D79+VS!E79</f>
        <v>0</v>
      </c>
      <c r="H82" s="33">
        <v>0</v>
      </c>
      <c r="I82" s="33">
        <f>VS!I79+VS!J79+VS!K79</f>
        <v>0</v>
      </c>
      <c r="J82" s="34">
        <f>VS!L79+VS!M79+VS!N79</f>
        <v>0</v>
      </c>
      <c r="K82" s="454"/>
      <c r="L82" s="8">
        <f t="shared" si="49"/>
        <v>0</v>
      </c>
      <c r="M82" s="8">
        <f t="shared" si="45"/>
        <v>0</v>
      </c>
      <c r="N82" s="8">
        <f t="shared" si="45"/>
        <v>0</v>
      </c>
      <c r="O82" s="8">
        <f t="shared" si="45"/>
        <v>0</v>
      </c>
    </row>
    <row r="83" spans="1:15" x14ac:dyDescent="0.25">
      <c r="A83" s="5" t="s">
        <v>74</v>
      </c>
      <c r="B83" s="33">
        <f>'F100'!C80+'F100'!D80+'F100'!E80</f>
        <v>0</v>
      </c>
      <c r="C83" s="33">
        <f>'F100'!D80+'F100'!E80+'F100'!F80</f>
        <v>0</v>
      </c>
      <c r="D83" s="33">
        <f>'F100'!E80+'F100'!F80+'F100'!G80</f>
        <v>0</v>
      </c>
      <c r="E83" s="33">
        <f>'F100'!F80+'F100'!G80+'F100'!H80</f>
        <v>0</v>
      </c>
      <c r="F83" s="454"/>
      <c r="G83" s="33">
        <f>VS!C80+VS!D80+VS!E80</f>
        <v>0</v>
      </c>
      <c r="H83" s="33">
        <v>0</v>
      </c>
      <c r="I83" s="33">
        <f>VS!I80+VS!J80+VS!K80</f>
        <v>0</v>
      </c>
      <c r="J83" s="34">
        <f>VS!L80+VS!M80+VS!N80</f>
        <v>0</v>
      </c>
      <c r="K83" s="454"/>
      <c r="L83" s="8">
        <f t="shared" si="49"/>
        <v>0</v>
      </c>
      <c r="M83" s="8">
        <f t="shared" si="45"/>
        <v>0</v>
      </c>
      <c r="N83" s="8">
        <f t="shared" si="45"/>
        <v>0</v>
      </c>
      <c r="O83" s="8">
        <f t="shared" si="45"/>
        <v>0</v>
      </c>
    </row>
    <row r="84" spans="1:15" x14ac:dyDescent="0.25">
      <c r="A84" s="3" t="s">
        <v>75</v>
      </c>
      <c r="B84" s="33">
        <f>'F100'!C81+'F100'!D81+'F100'!E81</f>
        <v>0</v>
      </c>
      <c r="C84" s="33">
        <f>'F100'!D81+'F100'!E81+'F100'!F81</f>
        <v>0</v>
      </c>
      <c r="D84" s="33">
        <f>'F100'!E81+'F100'!F81+'F100'!G81</f>
        <v>0</v>
      </c>
      <c r="E84" s="33">
        <f>'F100'!F81+'F100'!G81+'F100'!H81</f>
        <v>0</v>
      </c>
      <c r="F84" s="454"/>
      <c r="G84" s="33">
        <f>VS!C81+VS!D81+VS!E81</f>
        <v>0</v>
      </c>
      <c r="H84" s="33">
        <v>0</v>
      </c>
      <c r="I84" s="33">
        <f>VS!I81+VS!J81+VS!K81</f>
        <v>0</v>
      </c>
      <c r="J84" s="34">
        <f>VS!L81+VS!M81+VS!N81</f>
        <v>0</v>
      </c>
      <c r="K84" s="454"/>
      <c r="L84" s="8">
        <f t="shared" si="49"/>
        <v>0</v>
      </c>
      <c r="M84" s="8">
        <f t="shared" si="45"/>
        <v>0</v>
      </c>
      <c r="N84" s="8">
        <f t="shared" si="45"/>
        <v>0</v>
      </c>
      <c r="O84" s="8">
        <f t="shared" si="45"/>
        <v>0</v>
      </c>
    </row>
    <row r="85" spans="1:15" x14ac:dyDescent="0.25">
      <c r="A85" s="5" t="s">
        <v>76</v>
      </c>
      <c r="B85" s="33">
        <f>'F100'!C82+'F100'!D82+'F100'!E82</f>
        <v>0</v>
      </c>
      <c r="C85" s="33">
        <f>'F100'!D82+'F100'!E82+'F100'!F82</f>
        <v>0</v>
      </c>
      <c r="D85" s="33">
        <f>'F100'!E82+'F100'!F82+'F100'!G82</f>
        <v>0</v>
      </c>
      <c r="E85" s="33">
        <f>'F100'!F82+'F100'!G82+'F100'!H82</f>
        <v>0</v>
      </c>
      <c r="F85" s="454"/>
      <c r="G85" s="33">
        <f>VS!C82+VS!D82+VS!E82</f>
        <v>0</v>
      </c>
      <c r="H85" s="33">
        <v>0</v>
      </c>
      <c r="I85" s="33">
        <f>VS!I82+VS!J82+VS!K82</f>
        <v>0</v>
      </c>
      <c r="J85" s="34">
        <f>VS!L82+VS!M82+VS!N82</f>
        <v>0</v>
      </c>
      <c r="K85" s="454"/>
      <c r="L85" s="8">
        <f t="shared" si="49"/>
        <v>0</v>
      </c>
      <c r="M85" s="8">
        <f t="shared" si="45"/>
        <v>0</v>
      </c>
      <c r="N85" s="8">
        <f t="shared" si="45"/>
        <v>0</v>
      </c>
      <c r="O85" s="8">
        <f t="shared" si="45"/>
        <v>0</v>
      </c>
    </row>
    <row r="86" spans="1:15" s="11" customFormat="1" x14ac:dyDescent="0.25">
      <c r="A86" s="9" t="s">
        <v>77</v>
      </c>
      <c r="B86" s="32">
        <f>SUM(B87)</f>
        <v>0</v>
      </c>
      <c r="C86" s="32">
        <f t="shared" ref="C86:E86" si="50">SUM(C87)</f>
        <v>0</v>
      </c>
      <c r="D86" s="32">
        <f t="shared" si="50"/>
        <v>0</v>
      </c>
      <c r="E86" s="32">
        <f t="shared" si="50"/>
        <v>0</v>
      </c>
      <c r="F86" s="454"/>
      <c r="G86" s="32">
        <f>SUM(G87)</f>
        <v>0</v>
      </c>
      <c r="H86" s="32">
        <f t="shared" ref="H86" si="51">SUM(H87)</f>
        <v>0</v>
      </c>
      <c r="I86" s="32">
        <f t="shared" ref="I86" si="52">SUM(I87)</f>
        <v>0</v>
      </c>
      <c r="J86" s="32">
        <f t="shared" ref="J86" si="53">SUM(J87)</f>
        <v>0</v>
      </c>
      <c r="K86" s="454"/>
      <c r="L86" s="10">
        <f>SUM(B86+G86)</f>
        <v>0</v>
      </c>
      <c r="M86" s="10">
        <f t="shared" si="45"/>
        <v>0</v>
      </c>
      <c r="N86" s="10">
        <f t="shared" si="45"/>
        <v>0</v>
      </c>
      <c r="O86" s="10">
        <f t="shared" si="45"/>
        <v>0</v>
      </c>
    </row>
    <row r="87" spans="1:15" ht="15.75" x14ac:dyDescent="0.25">
      <c r="A87" s="6" t="s">
        <v>78</v>
      </c>
      <c r="B87" s="33">
        <f>'F100'!C84+'F100'!D84+'F100'!E84</f>
        <v>0</v>
      </c>
      <c r="C87" s="33">
        <f>'F100'!D84+'F100'!E84+'F100'!F84</f>
        <v>0</v>
      </c>
      <c r="D87" s="33">
        <f>'F100'!E84+'F100'!F84+'F100'!G84</f>
        <v>0</v>
      </c>
      <c r="E87" s="33">
        <f>'F100'!F84+'F100'!G84+'F100'!H84</f>
        <v>0</v>
      </c>
      <c r="F87" s="455"/>
      <c r="G87" s="33">
        <f>'F100'!H84+'F100'!I84+'F100'!J84</f>
        <v>0</v>
      </c>
      <c r="H87" s="33">
        <f>'F100'!I84+'F100'!J84+'F100'!K84</f>
        <v>0</v>
      </c>
      <c r="I87" s="33">
        <f>'F100'!J84+'F100'!K84+'F100'!L84</f>
        <v>0</v>
      </c>
      <c r="J87" s="33">
        <f>'F100'!K84+'F100'!L84+'F100'!M84</f>
        <v>0</v>
      </c>
      <c r="K87" s="455"/>
      <c r="L87" s="8">
        <f>SUM(B87+G87)</f>
        <v>0</v>
      </c>
      <c r="M87" s="8">
        <f>SUM(C87+H87)</f>
        <v>0</v>
      </c>
      <c r="N87" s="8">
        <f>SUM(D87+I87)</f>
        <v>0</v>
      </c>
      <c r="O87" s="8">
        <f>SUM(E87+J87)</f>
        <v>0</v>
      </c>
    </row>
    <row r="90" spans="1:15" x14ac:dyDescent="0.25">
      <c r="B90" s="388" t="s">
        <v>533</v>
      </c>
      <c r="G90" s="1" t="s">
        <v>533</v>
      </c>
      <c r="H90" s="1" t="s">
        <v>533</v>
      </c>
      <c r="I90" s="1" t="s">
        <v>533</v>
      </c>
    </row>
    <row r="91" spans="1:15" x14ac:dyDescent="0.25">
      <c r="H91" s="388" t="s">
        <v>533</v>
      </c>
      <c r="J91" s="389"/>
    </row>
  </sheetData>
  <mergeCells count="10">
    <mergeCell ref="L10:O10"/>
    <mergeCell ref="F10:F87"/>
    <mergeCell ref="K10:K87"/>
    <mergeCell ref="B10:E10"/>
    <mergeCell ref="G10:J10"/>
    <mergeCell ref="A1:O1"/>
    <mergeCell ref="A5:O5"/>
    <mergeCell ref="A6:O6"/>
    <mergeCell ref="A7:O7"/>
    <mergeCell ref="A8:O8"/>
  </mergeCells>
  <phoneticPr fontId="5" type="noConversion"/>
  <pageMargins left="0.7" right="0.7" top="0.75" bottom="0.75" header="0.3" footer="0.3"/>
  <pageSetup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topLeftCell="D71" workbookViewId="0">
      <selection activeCell="N72" sqref="N72"/>
    </sheetView>
  </sheetViews>
  <sheetFormatPr baseColWidth="10" defaultColWidth="9.140625" defaultRowHeight="15" x14ac:dyDescent="0.25"/>
  <cols>
    <col min="1" max="1" width="49.28515625" bestFit="1" customWidth="1"/>
    <col min="2" max="2" width="16.85546875" customWidth="1"/>
    <col min="3" max="3" width="14.85546875" customWidth="1"/>
    <col min="4" max="4" width="14.5703125" customWidth="1"/>
    <col min="5" max="5" width="17.28515625" customWidth="1"/>
    <col min="6" max="6" width="14.42578125" customWidth="1"/>
    <col min="7" max="8" width="14.28515625" customWidth="1"/>
    <col min="9" max="10" width="20.5703125" customWidth="1"/>
    <col min="11" max="11" width="15.5703125" customWidth="1"/>
    <col min="12" max="12" width="14.140625" customWidth="1"/>
    <col min="13" max="13" width="14.28515625" customWidth="1"/>
    <col min="14" max="14" width="14.85546875" customWidth="1"/>
  </cols>
  <sheetData>
    <row r="1" spans="1:14" ht="18.75" x14ac:dyDescent="0.25">
      <c r="A1" s="459" t="s">
        <v>102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</row>
    <row r="2" spans="1:14" ht="18.75" x14ac:dyDescent="0.25">
      <c r="A2" s="459" t="s">
        <v>103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</row>
    <row r="3" spans="1:14" ht="18.75" x14ac:dyDescent="0.25">
      <c r="A3" s="459" t="s">
        <v>104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</row>
    <row r="4" spans="1:14" ht="15.75" x14ac:dyDescent="0.25">
      <c r="A4" s="460" t="s">
        <v>109</v>
      </c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</row>
    <row r="5" spans="1:14" x14ac:dyDescent="0.25">
      <c r="A5" s="461" t="s">
        <v>36</v>
      </c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</row>
    <row r="7" spans="1:14" ht="15.75" x14ac:dyDescent="0.25">
      <c r="A7" s="12" t="s">
        <v>0</v>
      </c>
      <c r="B7" s="13" t="s">
        <v>94</v>
      </c>
      <c r="C7" s="13" t="s">
        <v>79</v>
      </c>
      <c r="D7" s="13" t="s">
        <v>80</v>
      </c>
      <c r="E7" s="13" t="s">
        <v>81</v>
      </c>
      <c r="F7" s="13" t="s">
        <v>82</v>
      </c>
      <c r="G7" s="13" t="s">
        <v>83</v>
      </c>
      <c r="H7" s="13" t="s">
        <v>84</v>
      </c>
      <c r="I7" s="13" t="s">
        <v>85</v>
      </c>
      <c r="J7" s="13" t="s">
        <v>86</v>
      </c>
      <c r="K7" s="13" t="s">
        <v>87</v>
      </c>
      <c r="L7" s="13" t="s">
        <v>88</v>
      </c>
      <c r="M7" s="13" t="s">
        <v>89</v>
      </c>
      <c r="N7" s="13" t="s">
        <v>90</v>
      </c>
    </row>
    <row r="8" spans="1:14" x14ac:dyDescent="0.25">
      <c r="A8" s="14" t="s">
        <v>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 x14ac:dyDescent="0.25">
      <c r="A9" s="9" t="s">
        <v>2</v>
      </c>
      <c r="B9" s="29">
        <f>SUM(C9:N9)</f>
        <v>245526168.40000001</v>
      </c>
      <c r="C9" s="30">
        <f>SUM(C10:C14)</f>
        <v>17227551.350000001</v>
      </c>
      <c r="D9" s="30">
        <f t="shared" ref="D9:N9" si="0">SUM(D10:D14)</f>
        <v>17035820.359999999</v>
      </c>
      <c r="E9" s="30">
        <f t="shared" si="0"/>
        <v>16996142.050000001</v>
      </c>
      <c r="F9" s="30">
        <f t="shared" si="0"/>
        <v>16847402.27</v>
      </c>
      <c r="G9" s="30">
        <f t="shared" si="0"/>
        <v>16674189.77</v>
      </c>
      <c r="H9" s="30">
        <f t="shared" si="0"/>
        <v>0</v>
      </c>
      <c r="I9" s="30">
        <f t="shared" si="0"/>
        <v>41006330.410000004</v>
      </c>
      <c r="J9" s="30">
        <f t="shared" si="0"/>
        <v>21993077.920000002</v>
      </c>
      <c r="K9" s="30">
        <f t="shared" si="0"/>
        <v>21769992.719999999</v>
      </c>
      <c r="L9" s="30">
        <f t="shared" si="0"/>
        <v>21954198.18</v>
      </c>
      <c r="M9" s="30">
        <f t="shared" si="0"/>
        <v>19889383.84</v>
      </c>
      <c r="N9" s="30">
        <f t="shared" si="0"/>
        <v>34132079.530000001</v>
      </c>
    </row>
    <row r="10" spans="1:14" x14ac:dyDescent="0.25">
      <c r="A10" s="18" t="s">
        <v>3</v>
      </c>
      <c r="B10" s="31">
        <f>SUM(C10:N10)</f>
        <v>196038323.78999999</v>
      </c>
      <c r="C10" s="19">
        <v>14551666.4</v>
      </c>
      <c r="D10" s="19">
        <v>14443062.550000001</v>
      </c>
      <c r="E10" s="19">
        <v>14408240.369999999</v>
      </c>
      <c r="F10" s="19">
        <v>14262441.970000001</v>
      </c>
      <c r="G10" s="19">
        <v>14035492.82</v>
      </c>
      <c r="H10" s="19">
        <v>0</v>
      </c>
      <c r="I10" s="19">
        <f>17839793.42+17851095.42</f>
        <v>35690888.840000004</v>
      </c>
      <c r="J10" s="19">
        <v>18099994.800000001</v>
      </c>
      <c r="K10" s="19">
        <v>18427237.68</v>
      </c>
      <c r="L10" s="19">
        <v>18582210.780000001</v>
      </c>
      <c r="M10" s="19">
        <v>16786593.789999999</v>
      </c>
      <c r="N10" s="19">
        <v>16750493.789999999</v>
      </c>
    </row>
    <row r="11" spans="1:14" x14ac:dyDescent="0.25">
      <c r="A11" s="18" t="s">
        <v>4</v>
      </c>
      <c r="B11" s="31">
        <f t="shared" ref="B11:B14" si="1">SUM(C11:N11)</f>
        <v>4815987</v>
      </c>
      <c r="C11" s="19">
        <v>440267</v>
      </c>
      <c r="D11" s="19">
        <v>373854</v>
      </c>
      <c r="E11" s="19">
        <v>374354</v>
      </c>
      <c r="F11" s="19">
        <v>393854</v>
      </c>
      <c r="G11" s="19">
        <v>461267</v>
      </c>
      <c r="H11" s="19">
        <v>0</v>
      </c>
      <c r="I11" s="19">
        <v>0</v>
      </c>
      <c r="J11" s="19">
        <f>519649</f>
        <v>519649</v>
      </c>
      <c r="K11" s="19">
        <v>519649</v>
      </c>
      <c r="L11" s="19">
        <v>525031</v>
      </c>
      <c r="M11" s="19">
        <f>529031</f>
        <v>529031</v>
      </c>
      <c r="N11" s="19">
        <v>679031</v>
      </c>
    </row>
    <row r="12" spans="1:14" x14ac:dyDescent="0.25">
      <c r="A12" s="18" t="s">
        <v>37</v>
      </c>
      <c r="B12" s="31">
        <f t="shared" si="1"/>
        <v>0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 x14ac:dyDescent="0.25">
      <c r="A13" s="18" t="s">
        <v>5</v>
      </c>
      <c r="B13" s="31">
        <f t="shared" si="1"/>
        <v>14134351.48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>
        <v>14134351.48</v>
      </c>
    </row>
    <row r="14" spans="1:14" x14ac:dyDescent="0.25">
      <c r="A14" s="18" t="s">
        <v>6</v>
      </c>
      <c r="B14" s="31">
        <f t="shared" si="1"/>
        <v>30537506.129999995</v>
      </c>
      <c r="C14" s="19">
        <v>2235617.9500000002</v>
      </c>
      <c r="D14" s="19">
        <v>2218903.81</v>
      </c>
      <c r="E14" s="19">
        <v>2213547.6800000002</v>
      </c>
      <c r="F14" s="19">
        <v>2191106.2999999998</v>
      </c>
      <c r="G14" s="19">
        <v>2177429.9500000002</v>
      </c>
      <c r="H14" s="19">
        <v>0</v>
      </c>
      <c r="I14" s="19">
        <v>5315441.57</v>
      </c>
      <c r="J14" s="19">
        <v>3373434.12</v>
      </c>
      <c r="K14" s="19">
        <v>2823106.04</v>
      </c>
      <c r="L14" s="19">
        <v>2846956.4</v>
      </c>
      <c r="M14" s="19">
        <v>2573759.0499999998</v>
      </c>
      <c r="N14" s="19">
        <v>2568203.2599999998</v>
      </c>
    </row>
    <row r="15" spans="1:14" x14ac:dyDescent="0.25">
      <c r="A15" s="9" t="s">
        <v>7</v>
      </c>
      <c r="B15" s="29">
        <f>SUM(C15:N15)</f>
        <v>0</v>
      </c>
      <c r="C15" s="30">
        <f>SUM(C16:C24)</f>
        <v>0</v>
      </c>
      <c r="D15" s="30">
        <f t="shared" ref="D15:N15" si="2">SUM(D16:D24)</f>
        <v>0</v>
      </c>
      <c r="E15" s="30">
        <f t="shared" si="2"/>
        <v>0</v>
      </c>
      <c r="F15" s="30">
        <f t="shared" si="2"/>
        <v>0</v>
      </c>
      <c r="G15" s="30">
        <f t="shared" si="2"/>
        <v>0</v>
      </c>
      <c r="H15" s="30">
        <f t="shared" si="2"/>
        <v>0</v>
      </c>
      <c r="I15" s="30">
        <f t="shared" si="2"/>
        <v>0</v>
      </c>
      <c r="J15" s="30">
        <f t="shared" si="2"/>
        <v>0</v>
      </c>
      <c r="K15" s="30">
        <f t="shared" si="2"/>
        <v>0</v>
      </c>
      <c r="L15" s="30">
        <f t="shared" si="2"/>
        <v>0</v>
      </c>
      <c r="M15" s="30">
        <f t="shared" si="2"/>
        <v>0</v>
      </c>
      <c r="N15" s="30">
        <f t="shared" si="2"/>
        <v>0</v>
      </c>
    </row>
    <row r="16" spans="1:14" x14ac:dyDescent="0.25">
      <c r="A16" s="18" t="s">
        <v>8</v>
      </c>
      <c r="B16" s="31">
        <f t="shared" ref="B16:B24" si="3">SUM(C16:N16)</f>
        <v>0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4" ht="30" x14ac:dyDescent="0.25">
      <c r="A17" s="18" t="s">
        <v>9</v>
      </c>
      <c r="B17" s="31">
        <f>SUM(C17:N17)</f>
        <v>0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4" x14ac:dyDescent="0.25">
      <c r="A18" s="18" t="s">
        <v>10</v>
      </c>
      <c r="B18" s="31">
        <f t="shared" si="3"/>
        <v>0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ht="18" customHeight="1" x14ac:dyDescent="0.25">
      <c r="A19" s="18" t="s">
        <v>11</v>
      </c>
      <c r="B19" s="31">
        <f t="shared" si="3"/>
        <v>0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x14ac:dyDescent="0.25">
      <c r="A20" s="18" t="s">
        <v>12</v>
      </c>
      <c r="B20" s="31">
        <f t="shared" si="3"/>
        <v>0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4" x14ac:dyDescent="0.25">
      <c r="A21" s="18" t="s">
        <v>13</v>
      </c>
      <c r="B21" s="31">
        <f t="shared" si="3"/>
        <v>0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 spans="1:14" ht="45" x14ac:dyDescent="0.25">
      <c r="A22" s="18" t="s">
        <v>14</v>
      </c>
      <c r="B22" s="31">
        <f t="shared" si="3"/>
        <v>0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  <row r="23" spans="1:14" ht="30" x14ac:dyDescent="0.25">
      <c r="A23" s="18" t="s">
        <v>15</v>
      </c>
      <c r="B23" s="31">
        <f t="shared" si="3"/>
        <v>0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spans="1:14" x14ac:dyDescent="0.25">
      <c r="A24" s="18" t="s">
        <v>38</v>
      </c>
      <c r="B24" s="31">
        <f t="shared" si="3"/>
        <v>0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4" x14ac:dyDescent="0.25">
      <c r="A25" s="9" t="s">
        <v>16</v>
      </c>
      <c r="B25" s="29">
        <f>SUM(C25:N25)</f>
        <v>0</v>
      </c>
      <c r="C25" s="30">
        <f>SUM(C26:C34)</f>
        <v>0</v>
      </c>
      <c r="D25" s="30">
        <f t="shared" ref="D25:M25" si="4">SUM(D26:D34)</f>
        <v>0</v>
      </c>
      <c r="E25" s="30">
        <f t="shared" si="4"/>
        <v>0</v>
      </c>
      <c r="F25" s="30">
        <f t="shared" si="4"/>
        <v>0</v>
      </c>
      <c r="G25" s="30">
        <f t="shared" si="4"/>
        <v>0</v>
      </c>
      <c r="H25" s="30">
        <f t="shared" si="4"/>
        <v>0</v>
      </c>
      <c r="I25" s="30">
        <f t="shared" si="4"/>
        <v>0</v>
      </c>
      <c r="J25" s="30">
        <f t="shared" si="4"/>
        <v>0</v>
      </c>
      <c r="K25" s="30">
        <f t="shared" si="4"/>
        <v>0</v>
      </c>
      <c r="L25" s="30">
        <f t="shared" si="4"/>
        <v>0</v>
      </c>
      <c r="M25" s="30">
        <f t="shared" si="4"/>
        <v>0</v>
      </c>
      <c r="N25" s="30">
        <f>SUM(N26:N34)</f>
        <v>0</v>
      </c>
    </row>
    <row r="26" spans="1:14" ht="30" x14ac:dyDescent="0.25">
      <c r="A26" s="18" t="s">
        <v>17</v>
      </c>
      <c r="B26" s="31">
        <f t="shared" ref="B26:B34" si="5">SUM(C26:N26)</f>
        <v>0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  <row r="27" spans="1:14" x14ac:dyDescent="0.25">
      <c r="A27" s="18" t="s">
        <v>18</v>
      </c>
      <c r="B27" s="31">
        <f t="shared" si="5"/>
        <v>0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</row>
    <row r="28" spans="1:14" x14ac:dyDescent="0.25">
      <c r="A28" s="18" t="s">
        <v>19</v>
      </c>
      <c r="B28" s="31">
        <f t="shared" si="5"/>
        <v>0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</row>
    <row r="29" spans="1:14" x14ac:dyDescent="0.25">
      <c r="A29" s="18" t="s">
        <v>20</v>
      </c>
      <c r="B29" s="31">
        <f t="shared" si="5"/>
        <v>0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spans="1:14" x14ac:dyDescent="0.25">
      <c r="A30" s="18" t="s">
        <v>21</v>
      </c>
      <c r="B30" s="31">
        <f t="shared" si="5"/>
        <v>0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spans="1:14" ht="30" x14ac:dyDescent="0.25">
      <c r="A31" s="18" t="s">
        <v>22</v>
      </c>
      <c r="B31" s="31">
        <f t="shared" si="5"/>
        <v>0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1:14" ht="30" x14ac:dyDescent="0.25">
      <c r="A32" s="18" t="s">
        <v>23</v>
      </c>
      <c r="B32" s="31">
        <f t="shared" si="5"/>
        <v>0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  <row r="33" spans="1:14" ht="30" x14ac:dyDescent="0.25">
      <c r="A33" s="18" t="s">
        <v>39</v>
      </c>
      <c r="B33" s="31">
        <f t="shared" si="5"/>
        <v>0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</row>
    <row r="34" spans="1:14" x14ac:dyDescent="0.25">
      <c r="A34" s="18" t="s">
        <v>24</v>
      </c>
      <c r="B34" s="31">
        <f t="shared" si="5"/>
        <v>0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</row>
    <row r="35" spans="1:14" x14ac:dyDescent="0.25">
      <c r="A35" s="9" t="s">
        <v>25</v>
      </c>
      <c r="B35" s="29">
        <f>SUM(C35:N35)</f>
        <v>0</v>
      </c>
      <c r="C35" s="30">
        <f>SUM(C36:C42)</f>
        <v>0</v>
      </c>
      <c r="D35" s="30">
        <f t="shared" ref="D35:N35" si="6">SUM(D36:D42)</f>
        <v>0</v>
      </c>
      <c r="E35" s="30">
        <f t="shared" si="6"/>
        <v>0</v>
      </c>
      <c r="F35" s="30">
        <f t="shared" si="6"/>
        <v>0</v>
      </c>
      <c r="G35" s="30">
        <f t="shared" si="6"/>
        <v>0</v>
      </c>
      <c r="H35" s="30">
        <f t="shared" si="6"/>
        <v>0</v>
      </c>
      <c r="I35" s="30">
        <f t="shared" si="6"/>
        <v>0</v>
      </c>
      <c r="J35" s="30">
        <f t="shared" si="6"/>
        <v>0</v>
      </c>
      <c r="K35" s="30">
        <f t="shared" si="6"/>
        <v>0</v>
      </c>
      <c r="L35" s="30">
        <f t="shared" si="6"/>
        <v>0</v>
      </c>
      <c r="M35" s="30">
        <f t="shared" si="6"/>
        <v>0</v>
      </c>
      <c r="N35" s="30">
        <f t="shared" si="6"/>
        <v>0</v>
      </c>
    </row>
    <row r="36" spans="1:14" ht="30" x14ac:dyDescent="0.25">
      <c r="A36" s="18" t="s">
        <v>26</v>
      </c>
      <c r="B36" s="31">
        <f>SUM(C36:N36)</f>
        <v>0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4" ht="30" x14ac:dyDescent="0.25">
      <c r="A37" s="18" t="s">
        <v>40</v>
      </c>
      <c r="B37" s="31">
        <f t="shared" ref="B37:B42" si="7">SUM(C37:N37)</f>
        <v>0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1:14" ht="30" x14ac:dyDescent="0.25">
      <c r="A38" s="18" t="s">
        <v>41</v>
      </c>
      <c r="B38" s="31">
        <f t="shared" si="7"/>
        <v>0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spans="1:14" ht="30" x14ac:dyDescent="0.25">
      <c r="A39" s="18" t="s">
        <v>42</v>
      </c>
      <c r="B39" s="31">
        <f t="shared" si="7"/>
        <v>0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</row>
    <row r="40" spans="1:14" ht="30" x14ac:dyDescent="0.25">
      <c r="A40" s="18" t="s">
        <v>43</v>
      </c>
      <c r="B40" s="31">
        <f t="shared" si="7"/>
        <v>0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1:14" ht="30" x14ac:dyDescent="0.25">
      <c r="A41" s="18" t="s">
        <v>27</v>
      </c>
      <c r="B41" s="31">
        <f t="shared" si="7"/>
        <v>0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1:14" ht="30" x14ac:dyDescent="0.25">
      <c r="A42" s="18" t="s">
        <v>44</v>
      </c>
      <c r="B42" s="31">
        <f t="shared" si="7"/>
        <v>0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1:14" x14ac:dyDescent="0.25">
      <c r="A43" s="9" t="s">
        <v>45</v>
      </c>
      <c r="B43" s="29">
        <f>SUM(C43:N43)</f>
        <v>0</v>
      </c>
      <c r="C43" s="30">
        <f>SUM(C44:C50)</f>
        <v>0</v>
      </c>
      <c r="D43" s="30">
        <f t="shared" ref="D43" si="8">SUM(D44:D50)</f>
        <v>0</v>
      </c>
      <c r="E43" s="30">
        <f t="shared" ref="E43" si="9">SUM(E44:E50)</f>
        <v>0</v>
      </c>
      <c r="F43" s="30">
        <f t="shared" ref="F43" si="10">SUM(F44:F50)</f>
        <v>0</v>
      </c>
      <c r="G43" s="30">
        <f t="shared" ref="G43" si="11">SUM(G44:G50)</f>
        <v>0</v>
      </c>
      <c r="H43" s="30">
        <f t="shared" ref="H43:I43" si="12">SUM(H44:H50)</f>
        <v>0</v>
      </c>
      <c r="I43" s="30">
        <f t="shared" si="12"/>
        <v>0</v>
      </c>
      <c r="J43" s="30">
        <f t="shared" ref="J43" si="13">SUM(J44:J50)</f>
        <v>0</v>
      </c>
      <c r="K43" s="30">
        <f t="shared" ref="K43" si="14">SUM(K44:K50)</f>
        <v>0</v>
      </c>
      <c r="L43" s="30">
        <f t="shared" ref="L43" si="15">SUM(L44:L50)</f>
        <v>0</v>
      </c>
      <c r="M43" s="30">
        <f t="shared" ref="M43" si="16">SUM(M44:M50)</f>
        <v>0</v>
      </c>
      <c r="N43" s="30">
        <f t="shared" ref="N43" si="17">SUM(N44:N50)</f>
        <v>0</v>
      </c>
    </row>
    <row r="44" spans="1:14" ht="30" x14ac:dyDescent="0.25">
      <c r="A44" s="18" t="s">
        <v>46</v>
      </c>
      <c r="B44" s="31">
        <f t="shared" ref="B44:B49" si="18">SUM(C44:N44)</f>
        <v>0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</row>
    <row r="45" spans="1:14" ht="30" x14ac:dyDescent="0.25">
      <c r="A45" s="18" t="s">
        <v>47</v>
      </c>
      <c r="B45" s="31">
        <f t="shared" si="18"/>
        <v>0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  <row r="46" spans="1:14" ht="30" x14ac:dyDescent="0.25">
      <c r="A46" s="18" t="s">
        <v>48</v>
      </c>
      <c r="B46" s="31">
        <f t="shared" si="18"/>
        <v>0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</row>
    <row r="47" spans="1:14" ht="30" x14ac:dyDescent="0.25">
      <c r="A47" s="18" t="s">
        <v>49</v>
      </c>
      <c r="B47" s="31">
        <f t="shared" si="18"/>
        <v>0</v>
      </c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</row>
    <row r="48" spans="1:14" ht="30" x14ac:dyDescent="0.25">
      <c r="A48" s="18" t="s">
        <v>50</v>
      </c>
      <c r="B48" s="31">
        <f t="shared" si="18"/>
        <v>0</v>
      </c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</row>
    <row r="49" spans="1:14" ht="30" x14ac:dyDescent="0.25">
      <c r="A49" s="18" t="s">
        <v>51</v>
      </c>
      <c r="B49" s="31">
        <f t="shared" si="18"/>
        <v>0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</row>
    <row r="50" spans="1:14" ht="30" x14ac:dyDescent="0.25">
      <c r="A50" s="18" t="s">
        <v>52</v>
      </c>
      <c r="B50" s="31">
        <f>SUM(C50:N50)</f>
        <v>0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</row>
    <row r="51" spans="1:14" x14ac:dyDescent="0.25">
      <c r="A51" s="9" t="s">
        <v>28</v>
      </c>
      <c r="B51" s="29">
        <f>SUM(C51:N51)</f>
        <v>0</v>
      </c>
      <c r="C51" s="30">
        <f>SUM(C52:C60)</f>
        <v>0</v>
      </c>
      <c r="D51" s="30">
        <f t="shared" ref="D51:N51" si="19">SUM(D52:D60)</f>
        <v>0</v>
      </c>
      <c r="E51" s="30">
        <f t="shared" si="19"/>
        <v>0</v>
      </c>
      <c r="F51" s="30">
        <f t="shared" si="19"/>
        <v>0</v>
      </c>
      <c r="G51" s="30">
        <f t="shared" si="19"/>
        <v>0</v>
      </c>
      <c r="H51" s="30">
        <f t="shared" si="19"/>
        <v>0</v>
      </c>
      <c r="I51" s="30">
        <f t="shared" si="19"/>
        <v>0</v>
      </c>
      <c r="J51" s="30">
        <f t="shared" si="19"/>
        <v>0</v>
      </c>
      <c r="K51" s="30">
        <f t="shared" si="19"/>
        <v>0</v>
      </c>
      <c r="L51" s="30">
        <f t="shared" si="19"/>
        <v>0</v>
      </c>
      <c r="M51" s="30">
        <f t="shared" si="19"/>
        <v>0</v>
      </c>
      <c r="N51" s="30">
        <f t="shared" si="19"/>
        <v>0</v>
      </c>
    </row>
    <row r="52" spans="1:14" x14ac:dyDescent="0.25">
      <c r="A52" s="18" t="s">
        <v>29</v>
      </c>
      <c r="B52" s="31">
        <f t="shared" ref="B52:B60" si="20">SUM(C52:N52)</f>
        <v>0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</row>
    <row r="53" spans="1:14" ht="30" x14ac:dyDescent="0.25">
      <c r="A53" s="18" t="s">
        <v>30</v>
      </c>
      <c r="B53" s="31">
        <f t="shared" si="20"/>
        <v>0</v>
      </c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</row>
    <row r="54" spans="1:14" ht="30" x14ac:dyDescent="0.25">
      <c r="A54" s="18" t="s">
        <v>31</v>
      </c>
      <c r="B54" s="31">
        <f t="shared" si="20"/>
        <v>0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</row>
    <row r="55" spans="1:14" ht="30" x14ac:dyDescent="0.25">
      <c r="A55" s="18" t="s">
        <v>32</v>
      </c>
      <c r="B55" s="31">
        <f t="shared" si="20"/>
        <v>0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</row>
    <row r="56" spans="1:14" ht="30" x14ac:dyDescent="0.25">
      <c r="A56" s="18" t="s">
        <v>33</v>
      </c>
      <c r="B56" s="31">
        <f t="shared" si="20"/>
        <v>0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</row>
    <row r="57" spans="1:14" x14ac:dyDescent="0.25">
      <c r="A57" s="18" t="s">
        <v>53</v>
      </c>
      <c r="B57" s="31">
        <f t="shared" si="20"/>
        <v>0</v>
      </c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</row>
    <row r="58" spans="1:14" x14ac:dyDescent="0.25">
      <c r="A58" s="18" t="s">
        <v>54</v>
      </c>
      <c r="B58" s="31">
        <f t="shared" si="20"/>
        <v>0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</row>
    <row r="59" spans="1:14" x14ac:dyDescent="0.25">
      <c r="A59" s="18" t="s">
        <v>34</v>
      </c>
      <c r="B59" s="31">
        <f t="shared" si="20"/>
        <v>0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</row>
    <row r="60" spans="1:14" ht="30" x14ac:dyDescent="0.25">
      <c r="A60" s="18" t="s">
        <v>55</v>
      </c>
      <c r="B60" s="31">
        <f t="shared" si="20"/>
        <v>0</v>
      </c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</row>
    <row r="61" spans="1:14" x14ac:dyDescent="0.25">
      <c r="A61" s="9" t="s">
        <v>56</v>
      </c>
      <c r="B61" s="29">
        <f>SUM(C61:N61)</f>
        <v>0</v>
      </c>
      <c r="C61" s="30">
        <f>SUM(C62:C65)</f>
        <v>0</v>
      </c>
      <c r="D61" s="30">
        <f t="shared" ref="D61:N61" si="21">SUM(D62:D65)</f>
        <v>0</v>
      </c>
      <c r="E61" s="30">
        <f t="shared" si="21"/>
        <v>0</v>
      </c>
      <c r="F61" s="30">
        <f t="shared" si="21"/>
        <v>0</v>
      </c>
      <c r="G61" s="30">
        <f t="shared" si="21"/>
        <v>0</v>
      </c>
      <c r="H61" s="30">
        <f t="shared" si="21"/>
        <v>0</v>
      </c>
      <c r="I61" s="30">
        <f t="shared" si="21"/>
        <v>0</v>
      </c>
      <c r="J61" s="30">
        <f t="shared" si="21"/>
        <v>0</v>
      </c>
      <c r="K61" s="30">
        <f t="shared" si="21"/>
        <v>0</v>
      </c>
      <c r="L61" s="30">
        <f t="shared" si="21"/>
        <v>0</v>
      </c>
      <c r="M61" s="30">
        <f t="shared" si="21"/>
        <v>0</v>
      </c>
      <c r="N61" s="30">
        <f t="shared" si="21"/>
        <v>0</v>
      </c>
    </row>
    <row r="62" spans="1:14" x14ac:dyDescent="0.25">
      <c r="A62" s="18" t="s">
        <v>57</v>
      </c>
      <c r="B62" s="31">
        <f t="shared" ref="B62:B65" si="22">SUM(C62:N62)</f>
        <v>0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</row>
    <row r="63" spans="1:14" x14ac:dyDescent="0.25">
      <c r="A63" s="18" t="s">
        <v>58</v>
      </c>
      <c r="B63" s="31">
        <f t="shared" si="22"/>
        <v>0</v>
      </c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</row>
    <row r="64" spans="1:14" ht="30" x14ac:dyDescent="0.25">
      <c r="A64" s="18" t="s">
        <v>59</v>
      </c>
      <c r="B64" s="31">
        <f t="shared" si="22"/>
        <v>0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</row>
    <row r="65" spans="1:14" ht="45" x14ac:dyDescent="0.25">
      <c r="A65" s="18" t="s">
        <v>60</v>
      </c>
      <c r="B65" s="31">
        <f t="shared" si="22"/>
        <v>0</v>
      </c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</row>
    <row r="66" spans="1:14" ht="30" x14ac:dyDescent="0.25">
      <c r="A66" s="9" t="s">
        <v>61</v>
      </c>
      <c r="B66" s="29">
        <f>SUM(C66:N66)</f>
        <v>0</v>
      </c>
      <c r="C66" s="30">
        <f>SUM(C67:C68)</f>
        <v>0</v>
      </c>
      <c r="D66" s="30">
        <f t="shared" ref="D66:N66" si="23">SUM(D67:D68)</f>
        <v>0</v>
      </c>
      <c r="E66" s="30">
        <f t="shared" si="23"/>
        <v>0</v>
      </c>
      <c r="F66" s="30">
        <f t="shared" si="23"/>
        <v>0</v>
      </c>
      <c r="G66" s="30">
        <f t="shared" si="23"/>
        <v>0</v>
      </c>
      <c r="H66" s="30">
        <f t="shared" si="23"/>
        <v>0</v>
      </c>
      <c r="I66" s="30">
        <f t="shared" si="23"/>
        <v>0</v>
      </c>
      <c r="J66" s="30">
        <f t="shared" si="23"/>
        <v>0</v>
      </c>
      <c r="K66" s="30">
        <f t="shared" si="23"/>
        <v>0</v>
      </c>
      <c r="L66" s="30">
        <f t="shared" si="23"/>
        <v>0</v>
      </c>
      <c r="M66" s="30">
        <f t="shared" si="23"/>
        <v>0</v>
      </c>
      <c r="N66" s="30">
        <f t="shared" si="23"/>
        <v>0</v>
      </c>
    </row>
    <row r="67" spans="1:14" x14ac:dyDescent="0.25">
      <c r="A67" s="18" t="s">
        <v>62</v>
      </c>
      <c r="B67" s="31">
        <f t="shared" ref="B67:B68" si="24">SUM(C67:N67)</f>
        <v>0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</row>
    <row r="68" spans="1:14" ht="30" x14ac:dyDescent="0.25">
      <c r="A68" s="18" t="s">
        <v>63</v>
      </c>
      <c r="B68" s="31">
        <f t="shared" si="24"/>
        <v>0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</row>
    <row r="69" spans="1:14" x14ac:dyDescent="0.25">
      <c r="A69" s="9" t="s">
        <v>64</v>
      </c>
      <c r="B69" s="29">
        <f>SUM(C69:N69)</f>
        <v>0</v>
      </c>
      <c r="C69" s="30">
        <f>SUM(C70:C72)</f>
        <v>0</v>
      </c>
      <c r="D69" s="30">
        <f t="shared" ref="D69:N69" si="25">SUM(D70:D72)</f>
        <v>0</v>
      </c>
      <c r="E69" s="30">
        <f t="shared" si="25"/>
        <v>0</v>
      </c>
      <c r="F69" s="30">
        <f t="shared" si="25"/>
        <v>0</v>
      </c>
      <c r="G69" s="30">
        <f t="shared" si="25"/>
        <v>0</v>
      </c>
      <c r="H69" s="30">
        <f t="shared" si="25"/>
        <v>0</v>
      </c>
      <c r="I69" s="30">
        <f t="shared" si="25"/>
        <v>0</v>
      </c>
      <c r="J69" s="30">
        <f t="shared" si="25"/>
        <v>0</v>
      </c>
      <c r="K69" s="30">
        <f t="shared" si="25"/>
        <v>0</v>
      </c>
      <c r="L69" s="30">
        <f t="shared" si="25"/>
        <v>0</v>
      </c>
      <c r="M69" s="30">
        <f t="shared" si="25"/>
        <v>0</v>
      </c>
      <c r="N69" s="30">
        <f t="shared" si="25"/>
        <v>0</v>
      </c>
    </row>
    <row r="70" spans="1:14" x14ac:dyDescent="0.25">
      <c r="A70" s="18" t="s">
        <v>65</v>
      </c>
      <c r="B70" s="31">
        <f t="shared" ref="B70:B72" si="26">SUM(C70:N70)</f>
        <v>0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</row>
    <row r="71" spans="1:14" x14ac:dyDescent="0.25">
      <c r="A71" s="18" t="s">
        <v>66</v>
      </c>
      <c r="B71" s="31">
        <f t="shared" si="26"/>
        <v>0</v>
      </c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</row>
    <row r="72" spans="1:14" ht="30" x14ac:dyDescent="0.25">
      <c r="A72" s="18" t="s">
        <v>67</v>
      </c>
      <c r="B72" s="31">
        <f t="shared" si="26"/>
        <v>0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</row>
    <row r="73" spans="1:14" x14ac:dyDescent="0.25">
      <c r="A73" s="23" t="s">
        <v>35</v>
      </c>
      <c r="B73" s="27">
        <f>B9+B15+B25+B35+B43+B51+B61+B66+B69</f>
        <v>245526168.40000001</v>
      </c>
      <c r="C73" s="27">
        <f t="shared" ref="C73:N73" si="27">C9+C15+C25+C35+C43+C51+C61+C66+C69</f>
        <v>17227551.350000001</v>
      </c>
      <c r="D73" s="27">
        <f t="shared" si="27"/>
        <v>17035820.359999999</v>
      </c>
      <c r="E73" s="27">
        <f t="shared" si="27"/>
        <v>16996142.050000001</v>
      </c>
      <c r="F73" s="27">
        <f t="shared" si="27"/>
        <v>16847402.27</v>
      </c>
      <c r="G73" s="27">
        <f t="shared" si="27"/>
        <v>16674189.77</v>
      </c>
      <c r="H73" s="27">
        <f t="shared" si="27"/>
        <v>0</v>
      </c>
      <c r="I73" s="27">
        <f t="shared" si="27"/>
        <v>41006330.410000004</v>
      </c>
      <c r="J73" s="27">
        <f t="shared" si="27"/>
        <v>21993077.920000002</v>
      </c>
      <c r="K73" s="27">
        <f t="shared" si="27"/>
        <v>21769992.719999999</v>
      </c>
      <c r="L73" s="27">
        <f t="shared" si="27"/>
        <v>21954198.18</v>
      </c>
      <c r="M73" s="27">
        <f t="shared" si="27"/>
        <v>19889383.84</v>
      </c>
      <c r="N73" s="27">
        <f t="shared" si="27"/>
        <v>34132079.530000001</v>
      </c>
    </row>
    <row r="74" spans="1:14" x14ac:dyDescent="0.25">
      <c r="A74" s="14" t="s">
        <v>68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1:14" x14ac:dyDescent="0.25">
      <c r="A75" s="14" t="s">
        <v>69</v>
      </c>
      <c r="B75" s="16"/>
      <c r="C75" s="17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</row>
    <row r="76" spans="1:14" ht="30" x14ac:dyDescent="0.25">
      <c r="A76" s="18" t="s">
        <v>70</v>
      </c>
      <c r="B76" s="16"/>
      <c r="C76" s="19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ht="30" x14ac:dyDescent="0.25">
      <c r="A77" s="18" t="s">
        <v>71</v>
      </c>
      <c r="B77" s="16"/>
      <c r="C77" s="19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</row>
    <row r="78" spans="1:14" x14ac:dyDescent="0.25">
      <c r="A78" s="14" t="s">
        <v>72</v>
      </c>
      <c r="B78" s="16"/>
      <c r="C78" s="17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</row>
    <row r="79" spans="1:14" x14ac:dyDescent="0.25">
      <c r="A79" s="18" t="s">
        <v>73</v>
      </c>
      <c r="B79" s="16"/>
      <c r="C79" s="19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</row>
    <row r="80" spans="1:14" x14ac:dyDescent="0.25">
      <c r="A80" s="18" t="s">
        <v>74</v>
      </c>
      <c r="B80" s="16"/>
      <c r="C80" s="19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</row>
    <row r="81" spans="1:14" x14ac:dyDescent="0.25">
      <c r="A81" s="14" t="s">
        <v>75</v>
      </c>
      <c r="B81" s="16"/>
      <c r="C81" s="17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</row>
    <row r="82" spans="1:14" ht="30" x14ac:dyDescent="0.25">
      <c r="A82" s="18" t="s">
        <v>76</v>
      </c>
      <c r="B82" s="16"/>
      <c r="C82" s="19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</row>
    <row r="83" spans="1:14" x14ac:dyDescent="0.25">
      <c r="A83" s="23" t="s">
        <v>77</v>
      </c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</row>
    <row r="84" spans="1:14" x14ac:dyDescent="0.25">
      <c r="A84" s="20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ht="15.75" x14ac:dyDescent="0.25">
      <c r="A85" s="25" t="s">
        <v>78</v>
      </c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spans="1:14" x14ac:dyDescent="0.25">
      <c r="A86" t="s">
        <v>93</v>
      </c>
    </row>
    <row r="87" spans="1:14" x14ac:dyDescent="0.25">
      <c r="A87" t="s">
        <v>91</v>
      </c>
    </row>
    <row r="88" spans="1:14" x14ac:dyDescent="0.25">
      <c r="A88" t="s">
        <v>92</v>
      </c>
    </row>
    <row r="89" spans="1:14" x14ac:dyDescent="0.25">
      <c r="C89" s="350">
        <f>[2]ENERO!$J$25</f>
        <v>37294017.25</v>
      </c>
      <c r="D89" s="350">
        <f>[2]FEBRERO!$J$25</f>
        <v>74551541.099999994</v>
      </c>
      <c r="E89" s="350">
        <f>[2]MARZO!$J$26</f>
        <v>90482835.530000001</v>
      </c>
      <c r="F89" s="350">
        <f>[2]ABRIL!$J$26</f>
        <v>55112672.530000001</v>
      </c>
      <c r="G89" s="350">
        <f>[2]MAYO!$J$26-[2]MAYO!$I$26</f>
        <v>60435635.800000012</v>
      </c>
      <c r="H89" s="350">
        <f>[2]JUNIO!$J$25-[2]JUNIO!$I$25</f>
        <v>53545346.950000003</v>
      </c>
      <c r="I89" s="350">
        <f>[2]JULIO!$J$25</f>
        <v>124884570.66999999</v>
      </c>
      <c r="J89" s="350">
        <f>[2]AGOSTO!$J$25-[2]AGOSTO!$I$25</f>
        <v>75449792.430999994</v>
      </c>
      <c r="K89" s="350">
        <f>[2]SEPTIEMBRE!$J$25-[2]SEPTIEMBRE!$I$25</f>
        <v>96002447.459999993</v>
      </c>
      <c r="L89" s="390">
        <f>[2]OCTUBRE!$J$25-[2]OCTUBRE!$I$25</f>
        <v>117268623.18000001</v>
      </c>
      <c r="M89" s="350">
        <f>[2]NOVIEMBRE!$J$25-[2]NOVIEMBRE!$I$25</f>
        <v>84170700.746000007</v>
      </c>
      <c r="N89" s="350">
        <f>'CONSOLIDADO INGRESOS Y GTO'!J25-'CONSOLIDADO INGRESOS Y GTO'!I25</f>
        <v>102583718.7</v>
      </c>
    </row>
    <row r="90" spans="1:14" x14ac:dyDescent="0.25">
      <c r="C90" s="390">
        <f t="shared" ref="C90:H90" si="28">C73</f>
        <v>17227551.350000001</v>
      </c>
      <c r="D90" s="390">
        <f t="shared" si="28"/>
        <v>17035820.359999999</v>
      </c>
      <c r="E90" s="390">
        <f t="shared" si="28"/>
        <v>16996142.050000001</v>
      </c>
      <c r="F90" s="390">
        <f t="shared" si="28"/>
        <v>16847402.27</v>
      </c>
      <c r="G90" s="390">
        <f t="shared" si="28"/>
        <v>16674189.77</v>
      </c>
      <c r="H90" s="390">
        <f t="shared" si="28"/>
        <v>0</v>
      </c>
      <c r="I90" s="390">
        <f t="shared" ref="I90:N90" si="29">I73</f>
        <v>41006330.410000004</v>
      </c>
      <c r="J90" s="390">
        <f t="shared" si="29"/>
        <v>21993077.920000002</v>
      </c>
      <c r="K90" s="390">
        <f t="shared" si="29"/>
        <v>21769992.719999999</v>
      </c>
      <c r="L90" s="391">
        <f t="shared" si="29"/>
        <v>21954198.18</v>
      </c>
      <c r="M90" s="390">
        <f t="shared" si="29"/>
        <v>19889383.84</v>
      </c>
      <c r="N90" s="390">
        <f t="shared" si="29"/>
        <v>34132079.530000001</v>
      </c>
    </row>
    <row r="91" spans="1:14" x14ac:dyDescent="0.25">
      <c r="C91" s="391">
        <f t="shared" ref="C91:H91" si="30">C89-C90</f>
        <v>20066465.899999999</v>
      </c>
      <c r="D91" s="391">
        <f t="shared" si="30"/>
        <v>57515720.739999995</v>
      </c>
      <c r="E91" s="391">
        <f t="shared" si="30"/>
        <v>73486693.480000004</v>
      </c>
      <c r="F91" s="350">
        <f t="shared" si="30"/>
        <v>38265270.260000005</v>
      </c>
      <c r="G91" s="391">
        <f t="shared" si="30"/>
        <v>43761446.030000016</v>
      </c>
      <c r="H91" s="391">
        <f t="shared" si="30"/>
        <v>53545346.950000003</v>
      </c>
      <c r="I91" s="390">
        <f t="shared" ref="I91:N91" si="31">I89-I90</f>
        <v>83878240.25999999</v>
      </c>
      <c r="J91" s="391">
        <f t="shared" si="31"/>
        <v>53456714.510999992</v>
      </c>
      <c r="K91" s="391">
        <f t="shared" si="31"/>
        <v>74232454.739999995</v>
      </c>
      <c r="L91" s="391">
        <f t="shared" si="31"/>
        <v>95314425</v>
      </c>
      <c r="M91" s="391">
        <f t="shared" si="31"/>
        <v>64281316.906000003</v>
      </c>
      <c r="N91" s="391">
        <f t="shared" si="31"/>
        <v>68451639.170000002</v>
      </c>
    </row>
    <row r="92" spans="1:14" x14ac:dyDescent="0.25">
      <c r="I92" s="332" t="str">
        <f>L92</f>
        <v xml:space="preserve"> </v>
      </c>
      <c r="L92" s="332" t="s">
        <v>533</v>
      </c>
    </row>
  </sheetData>
  <mergeCells count="5">
    <mergeCell ref="A1:N1"/>
    <mergeCell ref="A2:N2"/>
    <mergeCell ref="A3:N3"/>
    <mergeCell ref="A4:N4"/>
    <mergeCell ref="A5:N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E10" sqref="E10"/>
    </sheetView>
  </sheetViews>
  <sheetFormatPr baseColWidth="10" defaultRowHeight="15" x14ac:dyDescent="0.25"/>
  <cols>
    <col min="1" max="1" width="81.28515625" customWidth="1"/>
    <col min="3" max="3" width="23.140625" customWidth="1"/>
    <col min="4" max="4" width="24" customWidth="1"/>
    <col min="5" max="5" width="23.42578125" customWidth="1"/>
    <col min="7" max="7" width="11.85546875" customWidth="1"/>
  </cols>
  <sheetData>
    <row r="1" spans="1:7" ht="18.75" x14ac:dyDescent="0.3">
      <c r="A1" s="462" t="s">
        <v>102</v>
      </c>
      <c r="B1" s="462"/>
      <c r="C1" s="462"/>
      <c r="D1" s="462"/>
      <c r="E1" s="462"/>
      <c r="F1" s="462"/>
      <c r="G1" s="462"/>
    </row>
    <row r="2" spans="1:7" ht="18.75" x14ac:dyDescent="0.3">
      <c r="A2" s="462" t="s">
        <v>110</v>
      </c>
      <c r="B2" s="462"/>
      <c r="C2" s="462"/>
      <c r="D2" s="462"/>
      <c r="E2" s="462"/>
      <c r="F2" s="462"/>
      <c r="G2" s="462"/>
    </row>
    <row r="3" spans="1:7" ht="18.75" x14ac:dyDescent="0.3">
      <c r="A3" s="462" t="s">
        <v>659</v>
      </c>
      <c r="B3" s="462"/>
      <c r="C3" s="462"/>
      <c r="D3" s="462"/>
      <c r="E3" s="462"/>
      <c r="F3" s="462"/>
      <c r="G3" s="462"/>
    </row>
    <row r="4" spans="1:7" ht="19.5" thickBot="1" x14ac:dyDescent="0.35">
      <c r="A4" s="260"/>
      <c r="B4" s="260"/>
      <c r="C4" s="260"/>
      <c r="D4" s="260"/>
      <c r="E4" s="260"/>
      <c r="F4" s="260"/>
      <c r="G4" s="260"/>
    </row>
    <row r="5" spans="1:7" ht="15.75" x14ac:dyDescent="0.25">
      <c r="A5" s="36" t="s">
        <v>111</v>
      </c>
      <c r="B5" s="463" t="s">
        <v>112</v>
      </c>
      <c r="C5" s="464"/>
      <c r="D5" s="36" t="s">
        <v>113</v>
      </c>
      <c r="E5" s="37" t="s">
        <v>114</v>
      </c>
      <c r="F5" s="38" t="s">
        <v>115</v>
      </c>
      <c r="G5" s="39" t="s">
        <v>116</v>
      </c>
    </row>
    <row r="6" spans="1:7" ht="15.75" x14ac:dyDescent="0.25">
      <c r="A6" s="465" t="s">
        <v>660</v>
      </c>
      <c r="B6" s="467" t="s">
        <v>117</v>
      </c>
      <c r="C6" s="468"/>
      <c r="D6" s="40"/>
      <c r="E6" s="469" t="s">
        <v>118</v>
      </c>
      <c r="F6" s="470"/>
      <c r="G6" s="471"/>
    </row>
    <row r="7" spans="1:7" ht="15.75" x14ac:dyDescent="0.25">
      <c r="A7" s="466"/>
      <c r="B7" s="257" t="s">
        <v>661</v>
      </c>
      <c r="C7" s="258" t="s">
        <v>662</v>
      </c>
      <c r="D7" s="40" t="s">
        <v>118</v>
      </c>
      <c r="E7" s="41" t="s">
        <v>663</v>
      </c>
      <c r="F7" s="266" t="s">
        <v>664</v>
      </c>
      <c r="G7" s="267" t="s">
        <v>665</v>
      </c>
    </row>
    <row r="8" spans="1:7" s="363" customFormat="1" ht="15.75" x14ac:dyDescent="0.25">
      <c r="A8" s="356" t="s">
        <v>633</v>
      </c>
      <c r="B8" s="357" t="s">
        <v>666</v>
      </c>
      <c r="C8" s="358" t="s">
        <v>667</v>
      </c>
      <c r="D8" s="359">
        <f>11493248.6+2951270.29</f>
        <v>14444518.890000001</v>
      </c>
      <c r="E8" s="360"/>
      <c r="F8" s="361"/>
      <c r="G8" s="362"/>
    </row>
    <row r="9" spans="1:7" s="363" customFormat="1" ht="15.75" x14ac:dyDescent="0.25">
      <c r="A9" s="356" t="s">
        <v>668</v>
      </c>
      <c r="B9" s="364"/>
      <c r="C9" s="358"/>
      <c r="D9" s="365">
        <v>0</v>
      </c>
      <c r="E9" s="366"/>
      <c r="F9" s="367"/>
      <c r="G9" s="368"/>
    </row>
    <row r="10" spans="1:7" s="363" customFormat="1" ht="15.75" x14ac:dyDescent="0.25">
      <c r="A10" s="379" t="s">
        <v>669</v>
      </c>
      <c r="B10" s="380"/>
      <c r="C10" s="381"/>
      <c r="D10" s="382">
        <v>59930568.469999999</v>
      </c>
      <c r="E10" s="366"/>
      <c r="F10" s="367"/>
      <c r="G10" s="368"/>
    </row>
    <row r="11" spans="1:7" s="363" customFormat="1" x14ac:dyDescent="0.25">
      <c r="A11" s="356" t="s">
        <v>634</v>
      </c>
      <c r="B11" s="369"/>
      <c r="C11" s="370"/>
      <c r="D11" s="365">
        <v>239285.46</v>
      </c>
      <c r="E11" s="366">
        <v>0</v>
      </c>
      <c r="F11" s="367">
        <v>0</v>
      </c>
      <c r="G11" s="368">
        <v>0</v>
      </c>
    </row>
    <row r="12" spans="1:7" s="363" customFormat="1" x14ac:dyDescent="0.25">
      <c r="A12" s="356" t="s">
        <v>670</v>
      </c>
      <c r="B12" s="369"/>
      <c r="C12" s="370"/>
      <c r="D12" s="365"/>
      <c r="E12" s="366">
        <v>0</v>
      </c>
      <c r="F12" s="367">
        <v>0</v>
      </c>
      <c r="G12" s="368">
        <v>0</v>
      </c>
    </row>
    <row r="13" spans="1:7" s="363" customFormat="1" x14ac:dyDescent="0.25">
      <c r="A13" s="356" t="s">
        <v>119</v>
      </c>
      <c r="B13" s="369"/>
      <c r="C13" s="370"/>
      <c r="D13" s="365"/>
      <c r="E13" s="371"/>
      <c r="F13" s="372"/>
      <c r="G13" s="370"/>
    </row>
    <row r="14" spans="1:7" s="363" customFormat="1" ht="15.75" thickBot="1" x14ac:dyDescent="0.3">
      <c r="A14" s="373" t="s">
        <v>120</v>
      </c>
      <c r="B14" s="374"/>
      <c r="C14" s="375"/>
      <c r="D14" s="376">
        <f>SUM(D8:D13)</f>
        <v>74614372.819999993</v>
      </c>
      <c r="E14" s="377"/>
      <c r="F14" s="378"/>
      <c r="G14" s="375"/>
    </row>
    <row r="16" spans="1:7" ht="15.75" x14ac:dyDescent="0.25">
      <c r="A16" s="43" t="s">
        <v>121</v>
      </c>
      <c r="E16" s="140" t="s">
        <v>533</v>
      </c>
    </row>
  </sheetData>
  <mergeCells count="7">
    <mergeCell ref="A1:G1"/>
    <mergeCell ref="A2:G2"/>
    <mergeCell ref="A3:G3"/>
    <mergeCell ref="B5:C5"/>
    <mergeCell ref="A6:A7"/>
    <mergeCell ref="B6:C6"/>
    <mergeCell ref="E6:G6"/>
  </mergeCells>
  <pageMargins left="0.7" right="0.7" top="0.75" bottom="0.75" header="0.3" footer="0.3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L237"/>
  <sheetViews>
    <sheetView workbookViewId="0">
      <selection activeCell="G8" sqref="G8"/>
    </sheetView>
  </sheetViews>
  <sheetFormatPr baseColWidth="10" defaultRowHeight="15" x14ac:dyDescent="0.25"/>
  <cols>
    <col min="2" max="2" width="36.7109375" style="255" customWidth="1"/>
    <col min="3" max="3" width="29.5703125" customWidth="1"/>
    <col min="4" max="4" width="25.42578125" customWidth="1"/>
    <col min="5" max="5" width="16.7109375" style="140" bestFit="1" customWidth="1"/>
    <col min="6" max="6" width="14.140625" bestFit="1" customWidth="1"/>
  </cols>
  <sheetData>
    <row r="8" spans="1:5" ht="23.25" x14ac:dyDescent="0.35">
      <c r="A8" s="475" t="s">
        <v>143</v>
      </c>
      <c r="B8" s="475"/>
      <c r="C8" s="475"/>
      <c r="D8" s="475"/>
      <c r="E8" s="475"/>
    </row>
    <row r="9" spans="1:5" ht="18.75" x14ac:dyDescent="0.3">
      <c r="A9" s="462" t="s">
        <v>142</v>
      </c>
      <c r="B9" s="462"/>
      <c r="C9" s="462"/>
      <c r="D9" s="462"/>
      <c r="E9" s="462"/>
    </row>
    <row r="10" spans="1:5" x14ac:dyDescent="0.25">
      <c r="A10" s="476" t="s">
        <v>141</v>
      </c>
      <c r="B10" s="476"/>
      <c r="C10" s="476"/>
      <c r="D10" s="476"/>
      <c r="E10" s="476"/>
    </row>
    <row r="11" spans="1:5" ht="15.75" thickBot="1" x14ac:dyDescent="0.3">
      <c r="A11" s="477" t="s">
        <v>671</v>
      </c>
      <c r="B11" s="477"/>
      <c r="C11" s="477"/>
      <c r="D11" s="477"/>
      <c r="E11" s="477"/>
    </row>
    <row r="12" spans="1:5" ht="45" x14ac:dyDescent="0.25">
      <c r="A12" s="51" t="s">
        <v>140</v>
      </c>
      <c r="B12" s="50" t="s">
        <v>139</v>
      </c>
      <c r="C12" s="50" t="s">
        <v>138</v>
      </c>
      <c r="D12" s="49" t="s">
        <v>137</v>
      </c>
      <c r="E12" s="268" t="s">
        <v>136</v>
      </c>
    </row>
    <row r="13" spans="1:5" x14ac:dyDescent="0.25">
      <c r="A13" s="48" t="s">
        <v>135</v>
      </c>
      <c r="B13" s="269" t="s">
        <v>134</v>
      </c>
      <c r="C13" s="270" t="s">
        <v>672</v>
      </c>
      <c r="D13" s="271">
        <v>133915</v>
      </c>
      <c r="E13" s="272">
        <v>21319779.120000001</v>
      </c>
    </row>
    <row r="14" spans="1:5" x14ac:dyDescent="0.25">
      <c r="A14" s="48" t="s">
        <v>135</v>
      </c>
      <c r="B14" s="273" t="s">
        <v>134</v>
      </c>
      <c r="C14" s="270"/>
      <c r="D14" s="274"/>
      <c r="E14" s="272">
        <v>0</v>
      </c>
    </row>
    <row r="15" spans="1:5" x14ac:dyDescent="0.25">
      <c r="A15" s="48" t="s">
        <v>135</v>
      </c>
      <c r="B15" s="269" t="s">
        <v>134</v>
      </c>
      <c r="C15" s="275"/>
      <c r="D15" s="271"/>
      <c r="E15" s="276">
        <v>0</v>
      </c>
    </row>
    <row r="16" spans="1:5" x14ac:dyDescent="0.25">
      <c r="A16" s="472" t="s">
        <v>125</v>
      </c>
      <c r="B16" s="472"/>
      <c r="C16" s="277"/>
      <c r="D16" s="277"/>
      <c r="E16" s="278">
        <f>SUM(E13:E15)</f>
        <v>21319779.120000001</v>
      </c>
    </row>
    <row r="17" spans="1:12" ht="15.75" x14ac:dyDescent="0.25">
      <c r="A17" s="478"/>
      <c r="B17" s="279" t="s">
        <v>673</v>
      </c>
      <c r="C17" s="280">
        <v>44389</v>
      </c>
      <c r="D17" s="281">
        <v>452400430002</v>
      </c>
      <c r="E17" s="31">
        <v>1532020</v>
      </c>
      <c r="L17" s="46"/>
    </row>
    <row r="18" spans="1:12" ht="15.75" x14ac:dyDescent="0.25">
      <c r="A18" s="478"/>
      <c r="B18" s="279" t="s">
        <v>673</v>
      </c>
      <c r="C18" s="280">
        <v>44481</v>
      </c>
      <c r="D18" s="281">
        <v>452400430065</v>
      </c>
      <c r="E18" s="31">
        <v>6810379.8200000003</v>
      </c>
      <c r="L18" s="46"/>
    </row>
    <row r="19" spans="1:12" ht="15.75" x14ac:dyDescent="0.25">
      <c r="A19" s="478"/>
      <c r="B19" s="279" t="s">
        <v>673</v>
      </c>
      <c r="C19" s="280">
        <v>44481</v>
      </c>
      <c r="D19" s="281">
        <v>452400430015</v>
      </c>
      <c r="E19" s="31">
        <v>175075.15</v>
      </c>
      <c r="L19" s="46"/>
    </row>
    <row r="20" spans="1:12" ht="15.75" x14ac:dyDescent="0.25">
      <c r="A20" s="478"/>
      <c r="B20" s="279" t="s">
        <v>673</v>
      </c>
      <c r="C20" s="280">
        <v>44481</v>
      </c>
      <c r="D20" s="281">
        <v>452400430070</v>
      </c>
      <c r="E20" s="31">
        <v>3247066.97</v>
      </c>
      <c r="L20" s="46"/>
    </row>
    <row r="21" spans="1:12" ht="15.75" x14ac:dyDescent="0.25">
      <c r="A21" s="478"/>
      <c r="B21" s="279" t="s">
        <v>673</v>
      </c>
      <c r="C21" s="280">
        <v>44481</v>
      </c>
      <c r="D21" s="281">
        <v>452400430002</v>
      </c>
      <c r="E21" s="31">
        <v>27125</v>
      </c>
      <c r="L21" s="46"/>
    </row>
    <row r="22" spans="1:12" ht="15.75" x14ac:dyDescent="0.25">
      <c r="A22" s="478"/>
      <c r="B22" s="279" t="s">
        <v>673</v>
      </c>
      <c r="C22" s="280">
        <v>44481</v>
      </c>
      <c r="D22" s="281">
        <v>452400430002</v>
      </c>
      <c r="E22" s="31">
        <v>25397477.23</v>
      </c>
      <c r="L22" s="46"/>
    </row>
    <row r="23" spans="1:12" ht="15.75" x14ac:dyDescent="0.25">
      <c r="A23" s="478"/>
      <c r="B23" s="279" t="s">
        <v>673</v>
      </c>
      <c r="C23" s="280" t="s">
        <v>674</v>
      </c>
      <c r="D23" s="281">
        <v>452400430002</v>
      </c>
      <c r="E23" s="31">
        <v>2857051.55</v>
      </c>
      <c r="L23" s="46"/>
    </row>
    <row r="24" spans="1:12" ht="15.75" x14ac:dyDescent="0.25">
      <c r="A24" s="478"/>
      <c r="B24" s="279" t="s">
        <v>673</v>
      </c>
      <c r="C24" s="280" t="s">
        <v>675</v>
      </c>
      <c r="D24" s="281">
        <v>452400430033</v>
      </c>
      <c r="E24" s="31">
        <v>253700</v>
      </c>
      <c r="L24" s="46"/>
    </row>
    <row r="25" spans="1:12" ht="15.75" x14ac:dyDescent="0.25">
      <c r="A25" s="478"/>
      <c r="B25" s="282" t="s">
        <v>590</v>
      </c>
      <c r="C25" s="280" t="s">
        <v>676</v>
      </c>
      <c r="D25" s="283">
        <v>39511</v>
      </c>
      <c r="E25" s="31">
        <v>47789.54</v>
      </c>
    </row>
    <row r="26" spans="1:12" ht="15.75" x14ac:dyDescent="0.25">
      <c r="A26" s="478"/>
      <c r="B26" s="282" t="s">
        <v>590</v>
      </c>
      <c r="C26" s="280" t="s">
        <v>677</v>
      </c>
      <c r="D26" s="283">
        <v>40070</v>
      </c>
      <c r="E26" s="31">
        <v>53325.89</v>
      </c>
    </row>
    <row r="27" spans="1:12" ht="15.75" x14ac:dyDescent="0.25">
      <c r="A27" s="478"/>
      <c r="B27" s="282" t="s">
        <v>537</v>
      </c>
      <c r="C27" s="280" t="s">
        <v>646</v>
      </c>
      <c r="D27" s="284">
        <v>239935</v>
      </c>
      <c r="E27" s="31">
        <v>608153.24</v>
      </c>
    </row>
    <row r="28" spans="1:12" ht="15.75" x14ac:dyDescent="0.25">
      <c r="A28" s="478"/>
      <c r="B28" s="282" t="s">
        <v>132</v>
      </c>
      <c r="C28" s="280" t="s">
        <v>678</v>
      </c>
      <c r="D28" s="283">
        <v>8301</v>
      </c>
      <c r="E28" s="31">
        <v>207947.79</v>
      </c>
    </row>
    <row r="29" spans="1:12" ht="15.75" x14ac:dyDescent="0.25">
      <c r="A29" s="478"/>
      <c r="B29" s="285" t="s">
        <v>131</v>
      </c>
      <c r="C29" s="280">
        <v>44540</v>
      </c>
      <c r="D29" s="283">
        <v>1300658</v>
      </c>
      <c r="E29" s="31">
        <v>381519.75</v>
      </c>
    </row>
    <row r="30" spans="1:12" ht="15.75" x14ac:dyDescent="0.25">
      <c r="A30" s="478"/>
      <c r="B30" s="285" t="s">
        <v>131</v>
      </c>
      <c r="C30" s="280">
        <v>44512</v>
      </c>
      <c r="D30" s="283">
        <v>131766</v>
      </c>
      <c r="E30" s="31">
        <v>304984.87</v>
      </c>
    </row>
    <row r="31" spans="1:12" ht="15.75" x14ac:dyDescent="0.25">
      <c r="A31" s="478"/>
      <c r="B31" s="282" t="s">
        <v>641</v>
      </c>
      <c r="C31" s="280">
        <v>44420</v>
      </c>
      <c r="D31" s="283">
        <v>452400430001</v>
      </c>
      <c r="E31" s="31">
        <v>1095761.05</v>
      </c>
    </row>
    <row r="32" spans="1:12" ht="15.75" x14ac:dyDescent="0.25">
      <c r="A32" s="478"/>
      <c r="B32" s="282" t="s">
        <v>641</v>
      </c>
      <c r="C32" s="280" t="s">
        <v>679</v>
      </c>
      <c r="D32" s="283">
        <v>452400430002</v>
      </c>
      <c r="E32" s="31">
        <v>1914239</v>
      </c>
    </row>
    <row r="33" spans="1:5" ht="15.75" x14ac:dyDescent="0.25">
      <c r="A33" s="478"/>
      <c r="B33" s="282" t="s">
        <v>538</v>
      </c>
      <c r="C33" s="280">
        <v>44267</v>
      </c>
      <c r="D33" s="283">
        <v>250258962</v>
      </c>
      <c r="E33" s="31">
        <v>612295.53</v>
      </c>
    </row>
    <row r="34" spans="1:5" ht="15.75" x14ac:dyDescent="0.25">
      <c r="A34" s="478"/>
      <c r="B34" s="282" t="s">
        <v>535</v>
      </c>
      <c r="C34" s="280" t="s">
        <v>680</v>
      </c>
      <c r="D34" s="283">
        <v>180513</v>
      </c>
      <c r="E34" s="31">
        <v>3123445.03</v>
      </c>
    </row>
    <row r="35" spans="1:5" ht="15.75" x14ac:dyDescent="0.25">
      <c r="A35" s="478"/>
      <c r="B35" s="282" t="s">
        <v>647</v>
      </c>
      <c r="C35" s="280" t="s">
        <v>680</v>
      </c>
      <c r="D35" s="284">
        <v>248499</v>
      </c>
      <c r="E35" s="31">
        <v>1344463.69</v>
      </c>
    </row>
    <row r="36" spans="1:5" ht="15.75" x14ac:dyDescent="0.25">
      <c r="A36" s="478"/>
      <c r="B36" s="282" t="s">
        <v>127</v>
      </c>
      <c r="C36" s="280" t="s">
        <v>681</v>
      </c>
      <c r="D36" s="284">
        <v>4524000000003</v>
      </c>
      <c r="E36" s="31">
        <v>374630.62</v>
      </c>
    </row>
    <row r="37" spans="1:5" ht="15.75" x14ac:dyDescent="0.25">
      <c r="A37" s="478"/>
      <c r="B37" s="282" t="s">
        <v>128</v>
      </c>
      <c r="C37" s="280">
        <v>44389</v>
      </c>
      <c r="D37" s="284">
        <v>144456</v>
      </c>
      <c r="E37" s="31">
        <v>207983.46</v>
      </c>
    </row>
    <row r="38" spans="1:5" ht="15.75" x14ac:dyDescent="0.25">
      <c r="A38" s="478"/>
      <c r="B38" s="282" t="s">
        <v>682</v>
      </c>
      <c r="C38" s="280" t="s">
        <v>675</v>
      </c>
      <c r="D38" s="284">
        <v>4524000010493</v>
      </c>
      <c r="E38" s="31">
        <v>51074.58</v>
      </c>
    </row>
    <row r="39" spans="1:5" ht="15" customHeight="1" x14ac:dyDescent="0.25">
      <c r="A39" s="478"/>
      <c r="B39" s="282" t="s">
        <v>539</v>
      </c>
      <c r="C39" s="280" t="s">
        <v>681</v>
      </c>
      <c r="D39" s="284">
        <v>452400540165</v>
      </c>
      <c r="E39" s="31">
        <v>67606.92</v>
      </c>
    </row>
    <row r="40" spans="1:5" ht="15" customHeight="1" x14ac:dyDescent="0.25">
      <c r="A40" s="478"/>
      <c r="B40" s="282" t="s">
        <v>539</v>
      </c>
      <c r="C40" s="280" t="s">
        <v>681</v>
      </c>
      <c r="D40" s="284">
        <v>452400540384</v>
      </c>
      <c r="E40" s="31">
        <v>66367.210000000006</v>
      </c>
    </row>
    <row r="41" spans="1:5" ht="15" customHeight="1" x14ac:dyDescent="0.25">
      <c r="A41" s="478"/>
      <c r="B41" s="282" t="s">
        <v>129</v>
      </c>
      <c r="C41" s="280" t="s">
        <v>683</v>
      </c>
      <c r="D41" s="284">
        <v>452400540339</v>
      </c>
      <c r="E41" s="31">
        <v>897906.95</v>
      </c>
    </row>
    <row r="42" spans="1:5" ht="15" customHeight="1" x14ac:dyDescent="0.25">
      <c r="A42" s="478"/>
      <c r="B42" s="282" t="s">
        <v>657</v>
      </c>
      <c r="C42" s="280" t="s">
        <v>681</v>
      </c>
      <c r="D42" s="284">
        <v>452400540383</v>
      </c>
      <c r="E42" s="31">
        <v>2400242.27</v>
      </c>
    </row>
    <row r="43" spans="1:5" ht="15" customHeight="1" x14ac:dyDescent="0.25">
      <c r="A43" s="478"/>
      <c r="B43" s="282" t="s">
        <v>657</v>
      </c>
      <c r="C43" s="280" t="s">
        <v>681</v>
      </c>
      <c r="D43" s="284">
        <v>452400540384</v>
      </c>
      <c r="E43" s="31">
        <v>1080888.82</v>
      </c>
    </row>
    <row r="44" spans="1:5" ht="15.75" x14ac:dyDescent="0.25">
      <c r="A44" s="478"/>
      <c r="B44" s="282" t="s">
        <v>657</v>
      </c>
      <c r="C44" s="280" t="s">
        <v>681</v>
      </c>
      <c r="D44" s="284">
        <v>452400540385</v>
      </c>
      <c r="E44" s="31">
        <v>420207.96</v>
      </c>
    </row>
    <row r="45" spans="1:5" ht="15.75" x14ac:dyDescent="0.25">
      <c r="A45" s="478"/>
      <c r="B45" s="282" t="s">
        <v>657</v>
      </c>
      <c r="C45" s="280" t="s">
        <v>681</v>
      </c>
      <c r="D45" s="284">
        <v>452400540386</v>
      </c>
      <c r="E45" s="31">
        <v>416359.55</v>
      </c>
    </row>
    <row r="46" spans="1:5" ht="15" customHeight="1" x14ac:dyDescent="0.25">
      <c r="A46" s="478"/>
      <c r="B46" s="282" t="s">
        <v>657</v>
      </c>
      <c r="C46" s="280" t="s">
        <v>681</v>
      </c>
      <c r="D46" s="284">
        <v>452400540387</v>
      </c>
      <c r="E46" s="31">
        <v>5414.98</v>
      </c>
    </row>
    <row r="47" spans="1:5" ht="15.75" x14ac:dyDescent="0.25">
      <c r="A47" s="478"/>
      <c r="B47" s="282" t="s">
        <v>536</v>
      </c>
      <c r="C47" s="280" t="s">
        <v>684</v>
      </c>
      <c r="D47" s="284">
        <v>4524000000140</v>
      </c>
      <c r="E47" s="31">
        <v>55202.69</v>
      </c>
    </row>
    <row r="48" spans="1:5" ht="15.75" x14ac:dyDescent="0.25">
      <c r="A48" s="478"/>
      <c r="B48" s="282" t="s">
        <v>130</v>
      </c>
      <c r="C48" s="280" t="s">
        <v>685</v>
      </c>
      <c r="D48" s="284">
        <v>452400540188</v>
      </c>
      <c r="E48" s="31">
        <v>204554.09</v>
      </c>
    </row>
    <row r="49" spans="1:8" ht="15.75" x14ac:dyDescent="0.25">
      <c r="A49" s="478"/>
      <c r="B49" s="282" t="s">
        <v>543</v>
      </c>
      <c r="C49" s="280"/>
      <c r="D49" s="284"/>
      <c r="E49" s="31">
        <v>0</v>
      </c>
      <c r="H49" s="16"/>
    </row>
    <row r="50" spans="1:8" ht="15.75" x14ac:dyDescent="0.25">
      <c r="A50" s="472" t="s">
        <v>125</v>
      </c>
      <c r="B50" s="472"/>
      <c r="C50" s="277"/>
      <c r="D50" s="277"/>
      <c r="E50" s="278">
        <f>SUM(E17:E49)</f>
        <v>56242261.199999996</v>
      </c>
      <c r="F50" s="55"/>
      <c r="H50" s="289"/>
    </row>
    <row r="51" spans="1:8" x14ac:dyDescent="0.25">
      <c r="A51" s="473"/>
      <c r="B51" s="42" t="s">
        <v>126</v>
      </c>
      <c r="C51" s="20"/>
      <c r="D51" s="284"/>
      <c r="E51" s="31">
        <v>0</v>
      </c>
    </row>
    <row r="52" spans="1:8" x14ac:dyDescent="0.25">
      <c r="A52" s="473"/>
      <c r="B52" s="42" t="s">
        <v>686</v>
      </c>
      <c r="C52" s="20"/>
      <c r="D52" s="286"/>
      <c r="E52" s="16">
        <v>0</v>
      </c>
    </row>
    <row r="53" spans="1:8" ht="30" x14ac:dyDescent="0.25">
      <c r="A53" s="473"/>
      <c r="B53" s="287" t="s">
        <v>687</v>
      </c>
      <c r="C53" s="20"/>
      <c r="D53" s="286"/>
      <c r="E53" s="16">
        <v>45476.78</v>
      </c>
    </row>
    <row r="54" spans="1:8" ht="15.75" x14ac:dyDescent="0.25">
      <c r="A54" s="473"/>
      <c r="B54" s="42" t="s">
        <v>688</v>
      </c>
      <c r="C54" s="288"/>
      <c r="D54" s="286"/>
      <c r="E54" s="289">
        <v>4619380.68</v>
      </c>
    </row>
    <row r="55" spans="1:8" x14ac:dyDescent="0.25">
      <c r="A55" s="472" t="s">
        <v>125</v>
      </c>
      <c r="B55" s="472"/>
      <c r="C55" s="277"/>
      <c r="D55" s="277"/>
      <c r="E55" s="278">
        <f>SUM(E51:E54)</f>
        <v>4664857.46</v>
      </c>
    </row>
    <row r="56" spans="1:8" x14ac:dyDescent="0.25">
      <c r="A56" s="474" t="s">
        <v>124</v>
      </c>
      <c r="B56" s="474"/>
      <c r="C56" s="290"/>
      <c r="D56" s="290"/>
      <c r="E56" s="291">
        <f>E16+E50+E55</f>
        <v>82226897.779999986</v>
      </c>
      <c r="G56" s="46"/>
    </row>
    <row r="57" spans="1:8" x14ac:dyDescent="0.25">
      <c r="A57" s="230"/>
      <c r="B57" s="230"/>
      <c r="C57" s="231"/>
      <c r="D57" s="231"/>
      <c r="E57" s="292"/>
      <c r="F57" t="s">
        <v>806</v>
      </c>
    </row>
    <row r="58" spans="1:8" x14ac:dyDescent="0.25">
      <c r="A58" s="230"/>
      <c r="B58" s="230"/>
      <c r="C58" s="231"/>
      <c r="D58" s="231"/>
      <c r="E58" s="292"/>
      <c r="F58" s="383">
        <f>'CONSOLIDADO INGRESOS Y GTO'!G16</f>
        <v>56242261.200000003</v>
      </c>
    </row>
    <row r="59" spans="1:8" x14ac:dyDescent="0.25">
      <c r="A59" s="45"/>
      <c r="F59" t="s">
        <v>810</v>
      </c>
    </row>
    <row r="60" spans="1:8" x14ac:dyDescent="0.25">
      <c r="A60" s="45"/>
      <c r="F60" s="55">
        <f>E56-F58</f>
        <v>25984636.579999983</v>
      </c>
    </row>
    <row r="61" spans="1:8" x14ac:dyDescent="0.25">
      <c r="A61" s="261"/>
      <c r="C61" s="261"/>
      <c r="D61" s="261"/>
      <c r="E61" s="293"/>
    </row>
    <row r="63" spans="1:8" x14ac:dyDescent="0.25">
      <c r="A63" s="480"/>
      <c r="B63" s="480"/>
      <c r="D63" s="480"/>
      <c r="E63" s="480"/>
    </row>
    <row r="66" spans="1:5" x14ac:dyDescent="0.25">
      <c r="A66" s="481"/>
      <c r="B66" s="481"/>
      <c r="D66" s="481"/>
      <c r="E66" s="481"/>
    </row>
    <row r="67" spans="1:5" x14ac:dyDescent="0.25">
      <c r="A67" s="482"/>
      <c r="B67" s="482"/>
      <c r="D67" s="482"/>
      <c r="E67" s="482"/>
    </row>
    <row r="68" spans="1:5" x14ac:dyDescent="0.25">
      <c r="A68" s="44"/>
      <c r="B68" s="259"/>
    </row>
    <row r="69" spans="1:5" x14ac:dyDescent="0.25">
      <c r="A69" s="259"/>
      <c r="B69" s="259" t="s">
        <v>123</v>
      </c>
      <c r="C69" s="259"/>
      <c r="D69" s="259"/>
      <c r="E69" s="294"/>
    </row>
    <row r="71" spans="1:5" x14ac:dyDescent="0.25">
      <c r="A71" s="479"/>
      <c r="B71" s="479"/>
      <c r="C71" s="479"/>
      <c r="D71" s="479"/>
      <c r="E71" s="479"/>
    </row>
    <row r="72" spans="1:5" x14ac:dyDescent="0.25">
      <c r="A72" s="480"/>
      <c r="B72" s="480"/>
      <c r="C72" s="480"/>
      <c r="D72" s="480"/>
      <c r="E72" s="480"/>
    </row>
    <row r="237" spans="5:5" x14ac:dyDescent="0.25">
      <c r="E237" s="140" t="s">
        <v>689</v>
      </c>
    </row>
  </sheetData>
  <mergeCells count="18">
    <mergeCell ref="A71:E71"/>
    <mergeCell ref="A72:E72"/>
    <mergeCell ref="A63:B63"/>
    <mergeCell ref="D63:E63"/>
    <mergeCell ref="A66:B66"/>
    <mergeCell ref="D66:E66"/>
    <mergeCell ref="A67:B67"/>
    <mergeCell ref="D67:E67"/>
    <mergeCell ref="A50:B50"/>
    <mergeCell ref="A55:B55"/>
    <mergeCell ref="A51:A54"/>
    <mergeCell ref="A56:B56"/>
    <mergeCell ref="A8:E8"/>
    <mergeCell ref="A9:E9"/>
    <mergeCell ref="A10:E10"/>
    <mergeCell ref="A11:E11"/>
    <mergeCell ref="A16:B16"/>
    <mergeCell ref="A17:A49"/>
  </mergeCells>
  <pageMargins left="0.7" right="0.7" top="0.75" bottom="0.75" header="0.3" footer="0.3"/>
  <pageSetup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4"/>
  <sheetViews>
    <sheetView topLeftCell="A7" workbookViewId="0">
      <selection activeCell="I10" sqref="I10"/>
    </sheetView>
  </sheetViews>
  <sheetFormatPr baseColWidth="10" defaultRowHeight="15" x14ac:dyDescent="0.25"/>
  <cols>
    <col min="1" max="1" width="34.85546875" bestFit="1" customWidth="1"/>
    <col min="2" max="2" width="20.42578125" customWidth="1"/>
    <col min="3" max="3" width="15.28515625" customWidth="1"/>
    <col min="4" max="4" width="18.7109375" customWidth="1"/>
    <col min="5" max="5" width="14.140625" bestFit="1" customWidth="1"/>
    <col min="6" max="6" width="15.140625" bestFit="1" customWidth="1"/>
    <col min="7" max="7" width="17.28515625" customWidth="1"/>
    <col min="8" max="8" width="14.42578125" customWidth="1"/>
    <col min="9" max="9" width="22.28515625" customWidth="1"/>
  </cols>
  <sheetData>
    <row r="2" spans="1:9" x14ac:dyDescent="0.25">
      <c r="E2" t="s">
        <v>153</v>
      </c>
    </row>
    <row r="4" spans="1:9" ht="23.25" x14ac:dyDescent="0.35">
      <c r="A4" s="475" t="s">
        <v>143</v>
      </c>
      <c r="B4" s="475"/>
      <c r="C4" s="475"/>
      <c r="D4" s="475"/>
      <c r="E4" s="475"/>
      <c r="F4" s="475"/>
      <c r="G4" s="475"/>
      <c r="H4" s="475"/>
      <c r="I4" s="475"/>
    </row>
    <row r="5" spans="1:9" ht="18.75" x14ac:dyDescent="0.3">
      <c r="A5" s="462" t="s">
        <v>142</v>
      </c>
      <c r="B5" s="462"/>
      <c r="C5" s="462"/>
      <c r="D5" s="462"/>
      <c r="E5" s="462"/>
      <c r="F5" s="462"/>
      <c r="G5" s="462"/>
      <c r="H5" s="462"/>
      <c r="I5" s="462"/>
    </row>
    <row r="6" spans="1:9" ht="15.75" thickBot="1" x14ac:dyDescent="0.3"/>
    <row r="7" spans="1:9" ht="15.75" thickBot="1" x14ac:dyDescent="0.3">
      <c r="A7" s="483" t="s">
        <v>152</v>
      </c>
      <c r="B7" s="484"/>
      <c r="C7" s="484"/>
      <c r="D7" s="484"/>
      <c r="E7" s="484"/>
      <c r="F7" s="484"/>
      <c r="G7" s="484"/>
      <c r="H7" s="484"/>
      <c r="I7" s="485"/>
    </row>
    <row r="8" spans="1:9" ht="15.75" thickBot="1" x14ac:dyDescent="0.3">
      <c r="A8" s="486" t="s">
        <v>777</v>
      </c>
      <c r="B8" s="487"/>
      <c r="C8" s="487"/>
      <c r="D8" s="487"/>
      <c r="E8" s="487"/>
      <c r="F8" s="487"/>
      <c r="G8" s="487"/>
      <c r="H8" s="487"/>
      <c r="I8" s="488"/>
    </row>
    <row r="9" spans="1:9" ht="45" x14ac:dyDescent="0.25">
      <c r="A9" s="50" t="s">
        <v>139</v>
      </c>
      <c r="B9" s="50" t="s">
        <v>151</v>
      </c>
      <c r="C9" s="49" t="s">
        <v>591</v>
      </c>
      <c r="D9" s="49" t="s">
        <v>150</v>
      </c>
      <c r="E9" s="49" t="s">
        <v>149</v>
      </c>
      <c r="F9" s="49" t="s">
        <v>148</v>
      </c>
      <c r="G9" s="59" t="s">
        <v>147</v>
      </c>
      <c r="H9" s="59" t="s">
        <v>146</v>
      </c>
      <c r="I9" s="58" t="s">
        <v>145</v>
      </c>
    </row>
    <row r="10" spans="1:9" x14ac:dyDescent="0.25">
      <c r="A10" s="205" t="s">
        <v>571</v>
      </c>
      <c r="B10" s="47">
        <v>44561</v>
      </c>
      <c r="C10" s="206" t="s">
        <v>778</v>
      </c>
      <c r="D10" s="251">
        <v>4025447.98</v>
      </c>
      <c r="E10" s="252">
        <v>0</v>
      </c>
      <c r="F10" s="253">
        <f>+D10-E10</f>
        <v>4025447.98</v>
      </c>
      <c r="G10" s="54"/>
      <c r="H10" s="54">
        <v>0</v>
      </c>
      <c r="I10" s="54">
        <f>+F10-H10</f>
        <v>4025447.98</v>
      </c>
    </row>
    <row r="11" spans="1:9" x14ac:dyDescent="0.25">
      <c r="A11" s="205" t="s">
        <v>572</v>
      </c>
      <c r="B11" s="47">
        <v>44561</v>
      </c>
      <c r="C11" s="206" t="s">
        <v>779</v>
      </c>
      <c r="D11" s="251">
        <v>1977762.57</v>
      </c>
      <c r="E11" s="252">
        <v>3672.79</v>
      </c>
      <c r="F11" s="253">
        <f t="shared" ref="F11:F33" si="0">+D11-E11</f>
        <v>1974089.78</v>
      </c>
      <c r="G11" s="54"/>
      <c r="H11" s="54"/>
      <c r="I11" s="54">
        <f t="shared" ref="I11:I33" si="1">+F11-H11</f>
        <v>1974089.78</v>
      </c>
    </row>
    <row r="12" spans="1:9" x14ac:dyDescent="0.25">
      <c r="A12" s="205" t="s">
        <v>573</v>
      </c>
      <c r="B12" s="47">
        <v>44561</v>
      </c>
      <c r="C12" s="206" t="s">
        <v>780</v>
      </c>
      <c r="D12" s="202">
        <v>12663.56</v>
      </c>
      <c r="E12" s="252">
        <v>0</v>
      </c>
      <c r="F12" s="253">
        <f t="shared" si="0"/>
        <v>12663.56</v>
      </c>
      <c r="G12" s="54"/>
      <c r="H12" s="54">
        <v>0</v>
      </c>
      <c r="I12" s="54">
        <f t="shared" si="1"/>
        <v>12663.56</v>
      </c>
    </row>
    <row r="13" spans="1:9" x14ac:dyDescent="0.25">
      <c r="A13" s="205" t="s">
        <v>574</v>
      </c>
      <c r="B13" s="47">
        <v>44561</v>
      </c>
      <c r="C13" s="206" t="s">
        <v>781</v>
      </c>
      <c r="D13" s="251">
        <v>1168959.8700000001</v>
      </c>
      <c r="E13" s="252">
        <v>0</v>
      </c>
      <c r="F13" s="253">
        <f t="shared" si="0"/>
        <v>1168959.8700000001</v>
      </c>
      <c r="G13" s="54"/>
      <c r="H13" s="54">
        <v>0</v>
      </c>
      <c r="I13" s="54">
        <f t="shared" si="1"/>
        <v>1168959.8700000001</v>
      </c>
    </row>
    <row r="14" spans="1:9" x14ac:dyDescent="0.25">
      <c r="A14" s="205" t="s">
        <v>575</v>
      </c>
      <c r="B14" s="47">
        <v>44561</v>
      </c>
      <c r="C14" s="206" t="s">
        <v>782</v>
      </c>
      <c r="D14" s="251">
        <v>5392512.1699999999</v>
      </c>
      <c r="E14" s="252">
        <v>0</v>
      </c>
      <c r="F14" s="253">
        <f t="shared" si="0"/>
        <v>5392512.1699999999</v>
      </c>
      <c r="G14" s="54"/>
      <c r="H14" s="54">
        <v>0</v>
      </c>
      <c r="I14" s="54">
        <f t="shared" si="1"/>
        <v>5392512.1699999999</v>
      </c>
    </row>
    <row r="15" spans="1:9" x14ac:dyDescent="0.25">
      <c r="A15" s="205" t="s">
        <v>576</v>
      </c>
      <c r="B15" s="47">
        <v>44561</v>
      </c>
      <c r="C15" s="206" t="s">
        <v>783</v>
      </c>
      <c r="D15" s="251">
        <v>96963.25</v>
      </c>
      <c r="E15" s="252">
        <v>0</v>
      </c>
      <c r="F15" s="253">
        <f t="shared" si="0"/>
        <v>96963.25</v>
      </c>
      <c r="G15" s="54"/>
      <c r="H15" s="54">
        <v>0</v>
      </c>
      <c r="I15" s="54">
        <f t="shared" si="1"/>
        <v>96963.25</v>
      </c>
    </row>
    <row r="16" spans="1:9" x14ac:dyDescent="0.25">
      <c r="A16" s="205" t="s">
        <v>577</v>
      </c>
      <c r="B16" s="47">
        <v>44561</v>
      </c>
      <c r="C16" s="206" t="s">
        <v>784</v>
      </c>
      <c r="D16" s="251">
        <v>2000</v>
      </c>
      <c r="E16" s="252">
        <v>0</v>
      </c>
      <c r="F16" s="253">
        <f t="shared" si="0"/>
        <v>2000</v>
      </c>
      <c r="G16" s="54"/>
      <c r="H16" s="54">
        <v>0</v>
      </c>
      <c r="I16" s="54">
        <f t="shared" si="1"/>
        <v>2000</v>
      </c>
    </row>
    <row r="17" spans="1:10" x14ac:dyDescent="0.25">
      <c r="A17" s="205" t="s">
        <v>578</v>
      </c>
      <c r="B17" s="47">
        <v>44561</v>
      </c>
      <c r="C17" s="206" t="s">
        <v>785</v>
      </c>
      <c r="D17" s="251">
        <v>1172896.94</v>
      </c>
      <c r="E17" s="252">
        <v>78439.3</v>
      </c>
      <c r="F17" s="253">
        <f t="shared" si="0"/>
        <v>1094457.6399999999</v>
      </c>
      <c r="G17" s="54"/>
      <c r="H17" s="54">
        <v>0</v>
      </c>
      <c r="I17" s="54">
        <f t="shared" si="1"/>
        <v>1094457.6399999999</v>
      </c>
    </row>
    <row r="18" spans="1:10" ht="15" customHeight="1" x14ac:dyDescent="0.25">
      <c r="A18" s="205" t="s">
        <v>579</v>
      </c>
      <c r="B18" s="47">
        <v>44561</v>
      </c>
      <c r="C18" s="206" t="s">
        <v>786</v>
      </c>
      <c r="D18" s="251">
        <v>4600</v>
      </c>
      <c r="E18" s="252">
        <v>0</v>
      </c>
      <c r="F18" s="253">
        <f t="shared" si="0"/>
        <v>4600</v>
      </c>
      <c r="G18" s="54"/>
      <c r="H18" s="54">
        <v>0</v>
      </c>
      <c r="I18" s="54">
        <f t="shared" si="1"/>
        <v>4600</v>
      </c>
    </row>
    <row r="19" spans="1:10" x14ac:dyDescent="0.25">
      <c r="A19" s="205" t="s">
        <v>580</v>
      </c>
      <c r="B19" s="47">
        <v>44561</v>
      </c>
      <c r="C19" s="206" t="s">
        <v>787</v>
      </c>
      <c r="D19" s="251">
        <v>374565.68</v>
      </c>
      <c r="E19" s="252">
        <v>0</v>
      </c>
      <c r="F19" s="253">
        <f t="shared" si="0"/>
        <v>374565.68</v>
      </c>
      <c r="G19" s="54"/>
      <c r="H19" s="54">
        <v>0</v>
      </c>
      <c r="I19" s="54">
        <f t="shared" si="1"/>
        <v>374565.68</v>
      </c>
    </row>
    <row r="20" spans="1:10" x14ac:dyDescent="0.25">
      <c r="A20" s="205" t="s">
        <v>581</v>
      </c>
      <c r="B20" s="47">
        <v>44561</v>
      </c>
      <c r="C20" s="206" t="s">
        <v>788</v>
      </c>
      <c r="D20" s="251">
        <v>528159.12</v>
      </c>
      <c r="E20" s="252">
        <v>0</v>
      </c>
      <c r="F20" s="253">
        <f t="shared" si="0"/>
        <v>528159.12</v>
      </c>
      <c r="G20" s="54"/>
      <c r="H20" s="54">
        <v>0</v>
      </c>
      <c r="I20" s="54">
        <f t="shared" si="1"/>
        <v>528159.12</v>
      </c>
    </row>
    <row r="21" spans="1:10" x14ac:dyDescent="0.25">
      <c r="A21" s="205" t="s">
        <v>582</v>
      </c>
      <c r="B21" s="47">
        <v>44561</v>
      </c>
      <c r="C21" s="206" t="s">
        <v>789</v>
      </c>
      <c r="D21" s="251">
        <v>3840</v>
      </c>
      <c r="E21" s="252">
        <v>0</v>
      </c>
      <c r="F21" s="253">
        <f t="shared" si="0"/>
        <v>3840</v>
      </c>
      <c r="G21" s="54"/>
      <c r="H21" s="54">
        <v>0</v>
      </c>
      <c r="I21" s="54">
        <f t="shared" si="1"/>
        <v>3840</v>
      </c>
    </row>
    <row r="22" spans="1:10" x14ac:dyDescent="0.25">
      <c r="A22" s="205" t="s">
        <v>790</v>
      </c>
      <c r="B22" s="47">
        <v>44561</v>
      </c>
      <c r="C22" s="206" t="s">
        <v>791</v>
      </c>
      <c r="D22" s="251">
        <v>484347.25</v>
      </c>
      <c r="E22" s="252">
        <v>48576.5</v>
      </c>
      <c r="F22" s="253">
        <f t="shared" si="0"/>
        <v>435770.75</v>
      </c>
      <c r="G22" s="54"/>
      <c r="H22" s="54">
        <v>0</v>
      </c>
      <c r="I22" s="54">
        <f t="shared" si="1"/>
        <v>435770.75</v>
      </c>
    </row>
    <row r="23" spans="1:10" x14ac:dyDescent="0.25">
      <c r="A23" s="205" t="s">
        <v>583</v>
      </c>
      <c r="B23" s="47">
        <v>44561</v>
      </c>
      <c r="C23" s="206" t="s">
        <v>792</v>
      </c>
      <c r="D23" s="251">
        <v>8442.32</v>
      </c>
      <c r="E23" s="252">
        <v>0</v>
      </c>
      <c r="F23" s="253">
        <f t="shared" si="0"/>
        <v>8442.32</v>
      </c>
      <c r="G23" s="54"/>
      <c r="H23" s="54">
        <v>0</v>
      </c>
      <c r="I23" s="54">
        <f t="shared" si="1"/>
        <v>8442.32</v>
      </c>
    </row>
    <row r="24" spans="1:10" x14ac:dyDescent="0.25">
      <c r="A24" s="205" t="s">
        <v>584</v>
      </c>
      <c r="B24" s="47">
        <v>44561</v>
      </c>
      <c r="C24" s="206" t="s">
        <v>793</v>
      </c>
      <c r="D24" s="251">
        <v>8259</v>
      </c>
      <c r="E24" s="252">
        <v>0</v>
      </c>
      <c r="F24" s="253">
        <f t="shared" si="0"/>
        <v>8259</v>
      </c>
      <c r="G24" s="54"/>
      <c r="H24" s="54">
        <v>0</v>
      </c>
      <c r="I24" s="54">
        <f t="shared" si="1"/>
        <v>8259</v>
      </c>
    </row>
    <row r="25" spans="1:10" x14ac:dyDescent="0.25">
      <c r="A25" s="205" t="s">
        <v>585</v>
      </c>
      <c r="B25" s="47">
        <v>44561</v>
      </c>
      <c r="C25" s="206" t="s">
        <v>794</v>
      </c>
      <c r="D25" s="251">
        <v>102596.55</v>
      </c>
      <c r="E25" s="252">
        <v>0</v>
      </c>
      <c r="F25" s="253">
        <f t="shared" si="0"/>
        <v>102596.55</v>
      </c>
      <c r="G25" s="54"/>
      <c r="H25" s="54">
        <v>0</v>
      </c>
      <c r="I25" s="54">
        <f t="shared" si="1"/>
        <v>102596.55</v>
      </c>
    </row>
    <row r="26" spans="1:10" x14ac:dyDescent="0.25">
      <c r="A26" s="205" t="s">
        <v>586</v>
      </c>
      <c r="B26" s="47">
        <v>44561</v>
      </c>
      <c r="C26" s="206" t="s">
        <v>795</v>
      </c>
      <c r="D26" s="251">
        <v>3718050.31</v>
      </c>
      <c r="E26" s="252">
        <v>179428.16</v>
      </c>
      <c r="F26" s="253">
        <f t="shared" si="0"/>
        <v>3538622.15</v>
      </c>
      <c r="G26" s="54"/>
      <c r="H26" s="54">
        <v>0</v>
      </c>
      <c r="I26" s="54">
        <f t="shared" si="1"/>
        <v>3538622.15</v>
      </c>
    </row>
    <row r="27" spans="1:10" x14ac:dyDescent="0.25">
      <c r="A27" s="207" t="s">
        <v>587</v>
      </c>
      <c r="B27" s="47">
        <v>44561</v>
      </c>
      <c r="C27" s="206" t="s">
        <v>796</v>
      </c>
      <c r="D27" s="251">
        <v>2870</v>
      </c>
      <c r="E27" s="252">
        <v>0</v>
      </c>
      <c r="F27" s="253">
        <f t="shared" si="0"/>
        <v>2870</v>
      </c>
      <c r="G27" s="54"/>
      <c r="H27" s="54">
        <v>0</v>
      </c>
      <c r="I27" s="54">
        <f t="shared" si="1"/>
        <v>2870</v>
      </c>
    </row>
    <row r="28" spans="1:10" x14ac:dyDescent="0.25">
      <c r="A28" s="205" t="s">
        <v>592</v>
      </c>
      <c r="B28" s="47">
        <v>44561</v>
      </c>
      <c r="C28" s="206" t="s">
        <v>797</v>
      </c>
      <c r="D28" s="251">
        <v>37700</v>
      </c>
      <c r="E28" s="252">
        <v>0</v>
      </c>
      <c r="F28" s="253">
        <f t="shared" si="0"/>
        <v>37700</v>
      </c>
      <c r="G28" s="54"/>
      <c r="H28" s="54">
        <v>0</v>
      </c>
      <c r="I28" s="54">
        <f t="shared" si="1"/>
        <v>37700</v>
      </c>
    </row>
    <row r="29" spans="1:10" x14ac:dyDescent="0.25">
      <c r="A29" s="205" t="s">
        <v>658</v>
      </c>
      <c r="B29" s="47">
        <v>44561</v>
      </c>
      <c r="C29" s="206" t="s">
        <v>798</v>
      </c>
      <c r="D29" s="254">
        <v>2448567.02</v>
      </c>
      <c r="E29" s="252">
        <v>221783.09</v>
      </c>
      <c r="F29" s="253">
        <f t="shared" si="0"/>
        <v>2226783.9300000002</v>
      </c>
      <c r="G29" s="54"/>
      <c r="H29" s="54">
        <v>0</v>
      </c>
      <c r="I29" s="54">
        <f t="shared" si="1"/>
        <v>2226783.9300000002</v>
      </c>
      <c r="J29" s="55"/>
    </row>
    <row r="30" spans="1:10" x14ac:dyDescent="0.25">
      <c r="A30" s="205" t="s">
        <v>799</v>
      </c>
      <c r="B30" s="47">
        <v>44561</v>
      </c>
      <c r="C30" s="206" t="s">
        <v>800</v>
      </c>
      <c r="D30" s="254">
        <v>604631.51</v>
      </c>
      <c r="E30" s="252">
        <v>0</v>
      </c>
      <c r="F30" s="253">
        <f t="shared" si="0"/>
        <v>604631.51</v>
      </c>
      <c r="G30" s="54"/>
      <c r="H30" s="54">
        <v>0</v>
      </c>
      <c r="I30" s="54">
        <f t="shared" si="1"/>
        <v>604631.51</v>
      </c>
      <c r="J30" s="55"/>
    </row>
    <row r="31" spans="1:10" s="1" customFormat="1" x14ac:dyDescent="0.25">
      <c r="A31" s="209" t="s">
        <v>547</v>
      </c>
      <c r="B31" s="47">
        <v>44561</v>
      </c>
      <c r="C31" s="222"/>
      <c r="D31" s="208">
        <v>15137996.33</v>
      </c>
      <c r="E31" s="223">
        <v>60960.480000000003</v>
      </c>
      <c r="F31" s="253">
        <f t="shared" si="0"/>
        <v>15077035.85</v>
      </c>
      <c r="G31" s="54"/>
      <c r="H31" s="54">
        <v>0</v>
      </c>
      <c r="I31" s="54">
        <f t="shared" si="1"/>
        <v>15077035.85</v>
      </c>
    </row>
    <row r="32" spans="1:10" x14ac:dyDescent="0.25">
      <c r="A32" s="209" t="s">
        <v>593</v>
      </c>
      <c r="B32" s="47">
        <v>44561</v>
      </c>
      <c r="C32" s="222"/>
      <c r="D32" s="202">
        <v>3747756.53</v>
      </c>
      <c r="E32" s="56">
        <v>51410.86</v>
      </c>
      <c r="F32" s="253">
        <f t="shared" si="0"/>
        <v>3696345.67</v>
      </c>
      <c r="G32" s="54"/>
      <c r="H32" s="54">
        <v>0</v>
      </c>
      <c r="I32" s="54">
        <f t="shared" si="1"/>
        <v>3696345.67</v>
      </c>
    </row>
    <row r="33" spans="1:10" x14ac:dyDescent="0.25">
      <c r="A33" s="209" t="s">
        <v>599</v>
      </c>
      <c r="B33" s="47">
        <v>44561</v>
      </c>
      <c r="C33" s="233"/>
      <c r="D33" s="57">
        <v>565330.29</v>
      </c>
      <c r="E33" s="56">
        <v>1844.68</v>
      </c>
      <c r="F33" s="253">
        <f t="shared" si="0"/>
        <v>563485.61</v>
      </c>
      <c r="G33" s="54"/>
      <c r="H33" s="54"/>
      <c r="I33" s="54">
        <f t="shared" si="1"/>
        <v>563485.61</v>
      </c>
      <c r="J33" s="55"/>
    </row>
    <row r="34" spans="1:10" ht="15.75" thickBot="1" x14ac:dyDescent="0.3">
      <c r="A34" s="53" t="s">
        <v>144</v>
      </c>
      <c r="B34" s="20"/>
      <c r="C34" s="20"/>
      <c r="D34" s="52">
        <f>SUM(D10:D33)</f>
        <v>41626918.25</v>
      </c>
      <c r="E34" s="52">
        <f>SUM(E10:E33)</f>
        <v>646115.86</v>
      </c>
      <c r="F34" s="52">
        <f>SUM(F10:F33)</f>
        <v>40980802.390000001</v>
      </c>
      <c r="G34" s="52"/>
      <c r="H34" s="54"/>
      <c r="I34" s="52">
        <f>SUM(I10:I33)</f>
        <v>40980802.390000001</v>
      </c>
    </row>
    <row r="35" spans="1:10" x14ac:dyDescent="0.25">
      <c r="A35" s="489" t="s">
        <v>801</v>
      </c>
      <c r="B35" s="489"/>
      <c r="C35" s="489"/>
      <c r="D35" s="489"/>
      <c r="E35" s="489"/>
      <c r="F35" s="489"/>
      <c r="G35" s="489"/>
      <c r="H35" s="489"/>
      <c r="I35" s="489"/>
    </row>
    <row r="36" spans="1:10" x14ac:dyDescent="0.25">
      <c r="A36" s="489"/>
      <c r="B36" s="489"/>
      <c r="C36" s="489"/>
      <c r="D36" s="489"/>
      <c r="E36" s="489"/>
      <c r="F36" s="489"/>
      <c r="G36" s="489"/>
      <c r="H36" s="489"/>
      <c r="I36" s="489"/>
    </row>
    <row r="37" spans="1:10" x14ac:dyDescent="0.25">
      <c r="A37" s="262"/>
      <c r="B37" s="262"/>
      <c r="C37" s="262"/>
      <c r="D37" s="262"/>
      <c r="E37" s="262"/>
      <c r="F37" s="262"/>
      <c r="G37" s="213"/>
      <c r="H37" s="262"/>
      <c r="I37" s="262"/>
    </row>
    <row r="38" spans="1:10" x14ac:dyDescent="0.25">
      <c r="A38" s="490" t="s">
        <v>802</v>
      </c>
      <c r="B38" s="490"/>
      <c r="C38" s="490"/>
      <c r="D38" s="490"/>
      <c r="E38" s="490"/>
      <c r="F38" s="490"/>
      <c r="G38" s="491" t="s">
        <v>807</v>
      </c>
      <c r="H38" s="491"/>
      <c r="I38" s="491"/>
      <c r="J38" s="491"/>
    </row>
    <row r="39" spans="1:10" x14ac:dyDescent="0.25">
      <c r="A39" s="261"/>
      <c r="B39" s="261"/>
      <c r="C39" s="261"/>
      <c r="D39" s="261"/>
      <c r="E39" s="261"/>
      <c r="F39" s="261"/>
      <c r="G39" s="218"/>
      <c r="H39" s="261"/>
      <c r="I39" s="262"/>
    </row>
    <row r="40" spans="1:10" x14ac:dyDescent="0.25">
      <c r="A40" s="480"/>
      <c r="B40" s="480"/>
      <c r="C40" s="259"/>
      <c r="E40" s="480"/>
      <c r="F40" s="480"/>
      <c r="G40" s="259"/>
      <c r="H40" s="210">
        <v>0</v>
      </c>
    </row>
    <row r="41" spans="1:10" x14ac:dyDescent="0.25">
      <c r="A41" s="480" t="s">
        <v>122</v>
      </c>
      <c r="B41" s="480"/>
      <c r="C41" s="259"/>
      <c r="E41" s="480"/>
      <c r="F41" s="480"/>
      <c r="G41" s="259"/>
      <c r="H41" s="259"/>
    </row>
    <row r="42" spans="1:10" x14ac:dyDescent="0.25">
      <c r="A42" s="461" t="s">
        <v>594</v>
      </c>
      <c r="B42" s="461"/>
    </row>
    <row r="44" spans="1:10" x14ac:dyDescent="0.25">
      <c r="A44" s="482"/>
      <c r="B44" s="482"/>
      <c r="C44" s="256"/>
      <c r="G44" s="256"/>
      <c r="H44" s="256"/>
    </row>
  </sheetData>
  <mergeCells count="13">
    <mergeCell ref="A44:B44"/>
    <mergeCell ref="A4:I4"/>
    <mergeCell ref="A5:I5"/>
    <mergeCell ref="A7:I7"/>
    <mergeCell ref="A8:I8"/>
    <mergeCell ref="A40:B40"/>
    <mergeCell ref="E40:F40"/>
    <mergeCell ref="A41:B41"/>
    <mergeCell ref="A35:I36"/>
    <mergeCell ref="A38:F38"/>
    <mergeCell ref="E41:F41"/>
    <mergeCell ref="A42:B42"/>
    <mergeCell ref="G38:J38"/>
  </mergeCells>
  <conditionalFormatting sqref="C1:C1048576">
    <cfRule type="duplicateValues" dxfId="0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4"/>
  <sheetViews>
    <sheetView topLeftCell="A61" zoomScale="90" zoomScaleNormal="90" workbookViewId="0">
      <selection activeCell="F72" sqref="F72"/>
    </sheetView>
  </sheetViews>
  <sheetFormatPr baseColWidth="10" defaultRowHeight="15" x14ac:dyDescent="0.25"/>
  <cols>
    <col min="1" max="1" width="4.140625" customWidth="1"/>
    <col min="2" max="2" width="34.7109375" customWidth="1"/>
    <col min="3" max="3" width="49.140625" customWidth="1"/>
    <col min="4" max="4" width="23.5703125" customWidth="1"/>
    <col min="5" max="5" width="16.42578125" customWidth="1"/>
    <col min="6" max="6" width="18" customWidth="1"/>
    <col min="7" max="7" width="16.5703125" customWidth="1"/>
    <col min="9" max="9" width="17.42578125" bestFit="1" customWidth="1"/>
    <col min="10" max="10" width="15.85546875" customWidth="1"/>
  </cols>
  <sheetData>
    <row r="1" spans="1:10" ht="21" x14ac:dyDescent="0.35">
      <c r="A1" s="492" t="s">
        <v>95</v>
      </c>
      <c r="B1" s="492"/>
      <c r="C1" s="492"/>
      <c r="D1" s="492"/>
      <c r="E1" s="492"/>
      <c r="F1" s="492"/>
      <c r="G1" s="492"/>
    </row>
    <row r="2" spans="1:10" ht="15.75" x14ac:dyDescent="0.25">
      <c r="A2" s="493" t="s">
        <v>690</v>
      </c>
      <c r="B2" s="493"/>
      <c r="C2" s="493"/>
      <c r="D2" s="493"/>
      <c r="E2" s="493"/>
      <c r="F2" s="493"/>
      <c r="G2" s="493"/>
    </row>
    <row r="3" spans="1:10" x14ac:dyDescent="0.25">
      <c r="A3" s="480" t="s">
        <v>691</v>
      </c>
      <c r="B3" s="480"/>
      <c r="C3" s="480"/>
      <c r="D3" s="480"/>
      <c r="E3" s="480"/>
      <c r="F3" s="480"/>
      <c r="G3" s="480"/>
    </row>
    <row r="4" spans="1:10" x14ac:dyDescent="0.25">
      <c r="E4" s="140"/>
      <c r="F4" s="140"/>
      <c r="G4" s="140"/>
    </row>
    <row r="5" spans="1:10" x14ac:dyDescent="0.25">
      <c r="A5" s="295"/>
      <c r="B5" s="295"/>
      <c r="C5" s="295"/>
      <c r="D5" s="295"/>
      <c r="E5" s="296"/>
      <c r="F5" s="297" t="s">
        <v>692</v>
      </c>
      <c r="G5" s="140"/>
    </row>
    <row r="6" spans="1:10" x14ac:dyDescent="0.25">
      <c r="B6" s="298"/>
      <c r="E6" s="140"/>
      <c r="F6" s="140"/>
      <c r="G6" s="140"/>
    </row>
    <row r="7" spans="1:10" ht="30" x14ac:dyDescent="0.25">
      <c r="A7" s="229" t="s">
        <v>615</v>
      </c>
      <c r="B7" s="229" t="s">
        <v>616</v>
      </c>
      <c r="C7" s="229" t="s">
        <v>693</v>
      </c>
      <c r="D7" s="229" t="s">
        <v>617</v>
      </c>
      <c r="E7" s="299" t="s">
        <v>694</v>
      </c>
      <c r="F7" s="299" t="s">
        <v>695</v>
      </c>
      <c r="G7" s="299" t="s">
        <v>696</v>
      </c>
    </row>
    <row r="8" spans="1:10" ht="15.75" x14ac:dyDescent="0.25">
      <c r="A8" s="20">
        <v>1</v>
      </c>
      <c r="B8" s="300" t="s">
        <v>697</v>
      </c>
      <c r="C8" s="301" t="s">
        <v>618</v>
      </c>
      <c r="D8" s="302" t="s">
        <v>698</v>
      </c>
      <c r="E8" s="201">
        <v>0</v>
      </c>
      <c r="F8" s="201">
        <v>1243271.6399999999</v>
      </c>
      <c r="G8" s="201">
        <f>+E8+F8</f>
        <v>1243271.6399999999</v>
      </c>
      <c r="I8" s="303"/>
    </row>
    <row r="9" spans="1:10" ht="15.75" x14ac:dyDescent="0.25">
      <c r="A9" s="20">
        <v>2</v>
      </c>
      <c r="B9" s="300" t="s">
        <v>619</v>
      </c>
      <c r="C9" s="301" t="s">
        <v>618</v>
      </c>
      <c r="D9" s="302" t="s">
        <v>698</v>
      </c>
      <c r="E9" s="304">
        <f>25638.57+57706.17+9618.12+12291.82+102109.95+59387.51+352439.84</f>
        <v>619191.98</v>
      </c>
      <c r="F9" s="16">
        <v>0</v>
      </c>
      <c r="G9" s="201">
        <f t="shared" ref="G9:G69" si="0">+E9+F9</f>
        <v>619191.98</v>
      </c>
      <c r="I9" s="305"/>
    </row>
    <row r="10" spans="1:10" ht="15.75" x14ac:dyDescent="0.25">
      <c r="A10" s="20">
        <v>3</v>
      </c>
      <c r="B10" s="306" t="s">
        <v>699</v>
      </c>
      <c r="C10" s="301" t="s">
        <v>700</v>
      </c>
      <c r="D10" s="302" t="s">
        <v>698</v>
      </c>
      <c r="E10" s="304">
        <v>0</v>
      </c>
      <c r="F10" s="201">
        <f>200000+23500</f>
        <v>223500</v>
      </c>
      <c r="G10" s="201">
        <f t="shared" si="0"/>
        <v>223500</v>
      </c>
      <c r="I10" s="307"/>
    </row>
    <row r="11" spans="1:10" ht="15.75" x14ac:dyDescent="0.25">
      <c r="A11" s="20">
        <v>5</v>
      </c>
      <c r="B11" s="308" t="s">
        <v>701</v>
      </c>
      <c r="C11" s="309" t="s">
        <v>702</v>
      </c>
      <c r="D11" s="302" t="s">
        <v>698</v>
      </c>
      <c r="E11" s="304">
        <v>3600000</v>
      </c>
      <c r="F11" s="16">
        <v>48000</v>
      </c>
      <c r="G11" s="201">
        <f t="shared" si="0"/>
        <v>3648000</v>
      </c>
      <c r="I11" s="305"/>
      <c r="J11" s="55"/>
    </row>
    <row r="12" spans="1:10" ht="15.75" x14ac:dyDescent="0.25">
      <c r="A12" s="310">
        <v>6</v>
      </c>
      <c r="B12" s="311" t="s">
        <v>703</v>
      </c>
      <c r="C12" s="311" t="s">
        <v>704</v>
      </c>
      <c r="D12" s="312" t="s">
        <v>698</v>
      </c>
      <c r="E12" s="304">
        <v>0</v>
      </c>
      <c r="F12" s="313">
        <v>619618</v>
      </c>
      <c r="G12" s="201">
        <f t="shared" si="0"/>
        <v>619618</v>
      </c>
      <c r="I12" s="305"/>
      <c r="J12" s="55"/>
    </row>
    <row r="13" spans="1:10" ht="15.75" x14ac:dyDescent="0.25">
      <c r="A13" s="20">
        <v>7</v>
      </c>
      <c r="B13" s="314" t="s">
        <v>705</v>
      </c>
      <c r="C13" s="315" t="s">
        <v>706</v>
      </c>
      <c r="D13" s="302" t="s">
        <v>698</v>
      </c>
      <c r="E13" s="304">
        <v>0</v>
      </c>
      <c r="F13" s="313">
        <f>2993.66+84960+5046.86</f>
        <v>93000.52</v>
      </c>
      <c r="G13" s="201">
        <f t="shared" si="0"/>
        <v>93000.52</v>
      </c>
      <c r="I13" s="305"/>
      <c r="J13" s="55"/>
    </row>
    <row r="14" spans="1:10" ht="15.75" x14ac:dyDescent="0.25">
      <c r="A14" s="316">
        <v>8</v>
      </c>
      <c r="B14" s="306" t="s">
        <v>705</v>
      </c>
      <c r="C14" s="317" t="s">
        <v>618</v>
      </c>
      <c r="D14" s="318" t="s">
        <v>698</v>
      </c>
      <c r="E14" s="304">
        <v>0</v>
      </c>
      <c r="F14" s="313">
        <f>338123+993860+3551130.45+146711.25+1035244.75+964453.5+211067.6+59775+23910+3336+76886+69900</f>
        <v>7474397.5499999998</v>
      </c>
      <c r="G14" s="201">
        <f t="shared" si="0"/>
        <v>7474397.5499999998</v>
      </c>
      <c r="I14" s="305"/>
    </row>
    <row r="15" spans="1:10" ht="15.75" x14ac:dyDescent="0.25">
      <c r="A15" s="316">
        <v>9</v>
      </c>
      <c r="B15" s="316" t="s">
        <v>621</v>
      </c>
      <c r="C15" s="317" t="s">
        <v>618</v>
      </c>
      <c r="D15" s="318" t="s">
        <v>698</v>
      </c>
      <c r="E15" s="304">
        <v>0</v>
      </c>
      <c r="F15" s="313">
        <f>19980</f>
        <v>19980</v>
      </c>
      <c r="G15" s="201">
        <f t="shared" si="0"/>
        <v>19980</v>
      </c>
      <c r="I15" s="305"/>
      <c r="J15" s="55"/>
    </row>
    <row r="16" spans="1:10" ht="15.75" x14ac:dyDescent="0.25">
      <c r="A16" s="316">
        <v>10</v>
      </c>
      <c r="B16" s="316" t="s">
        <v>621</v>
      </c>
      <c r="C16" s="317" t="s">
        <v>707</v>
      </c>
      <c r="D16" s="318" t="s">
        <v>698</v>
      </c>
      <c r="E16" s="304">
        <v>0</v>
      </c>
      <c r="F16" s="313">
        <v>31680</v>
      </c>
      <c r="G16" s="201">
        <f t="shared" si="0"/>
        <v>31680</v>
      </c>
      <c r="I16" s="305"/>
      <c r="J16" s="55"/>
    </row>
    <row r="17" spans="1:10" ht="15.75" x14ac:dyDescent="0.25">
      <c r="A17" s="316">
        <v>11</v>
      </c>
      <c r="B17" s="316" t="s">
        <v>642</v>
      </c>
      <c r="C17" s="20" t="s">
        <v>643</v>
      </c>
      <c r="D17" s="318" t="s">
        <v>698</v>
      </c>
      <c r="E17" s="304">
        <v>0</v>
      </c>
      <c r="F17" s="313">
        <f>31910+14185+24730+32320+45370+45370+26115+26115+12500</f>
        <v>258615</v>
      </c>
      <c r="G17" s="201">
        <f t="shared" si="0"/>
        <v>258615</v>
      </c>
      <c r="I17" s="305"/>
      <c r="J17" s="55"/>
    </row>
    <row r="18" spans="1:10" ht="15.75" x14ac:dyDescent="0.25">
      <c r="A18" s="316">
        <v>12</v>
      </c>
      <c r="B18" s="316" t="s">
        <v>708</v>
      </c>
      <c r="C18" s="317" t="s">
        <v>702</v>
      </c>
      <c r="D18" s="318" t="s">
        <v>698</v>
      </c>
      <c r="E18" s="304">
        <v>100000</v>
      </c>
      <c r="F18" s="313">
        <v>0</v>
      </c>
      <c r="G18" s="201">
        <f t="shared" si="0"/>
        <v>100000</v>
      </c>
      <c r="I18" s="305"/>
    </row>
    <row r="19" spans="1:10" ht="15.75" x14ac:dyDescent="0.25">
      <c r="A19" s="316">
        <v>13</v>
      </c>
      <c r="B19" s="319" t="s">
        <v>709</v>
      </c>
      <c r="C19" s="317" t="s">
        <v>710</v>
      </c>
      <c r="D19" s="318" t="s">
        <v>698</v>
      </c>
      <c r="E19" s="304">
        <v>0</v>
      </c>
      <c r="F19" s="313">
        <f>25193+51660.4</f>
        <v>76853.399999999994</v>
      </c>
      <c r="G19" s="201">
        <f t="shared" si="0"/>
        <v>76853.399999999994</v>
      </c>
      <c r="I19" s="305"/>
      <c r="J19" s="55"/>
    </row>
    <row r="20" spans="1:10" ht="15.75" x14ac:dyDescent="0.25">
      <c r="A20" s="316">
        <v>14</v>
      </c>
      <c r="B20" s="319" t="s">
        <v>711</v>
      </c>
      <c r="C20" s="317" t="s">
        <v>618</v>
      </c>
      <c r="D20" s="318" t="s">
        <v>698</v>
      </c>
      <c r="E20" s="304">
        <v>0</v>
      </c>
      <c r="F20" s="313">
        <v>90000</v>
      </c>
      <c r="G20" s="201">
        <f t="shared" si="0"/>
        <v>90000</v>
      </c>
      <c r="I20" s="305"/>
    </row>
    <row r="21" spans="1:10" ht="15.75" x14ac:dyDescent="0.25">
      <c r="A21" s="20">
        <v>15</v>
      </c>
      <c r="B21" s="319" t="s">
        <v>712</v>
      </c>
      <c r="C21" s="306" t="s">
        <v>648</v>
      </c>
      <c r="D21" s="302" t="s">
        <v>698</v>
      </c>
      <c r="E21" s="304">
        <v>0</v>
      </c>
      <c r="F21" s="16">
        <f>241350+255150</f>
        <v>496500</v>
      </c>
      <c r="G21" s="201">
        <f t="shared" si="0"/>
        <v>496500</v>
      </c>
      <c r="I21" s="305"/>
    </row>
    <row r="22" spans="1:10" ht="15.75" x14ac:dyDescent="0.25">
      <c r="A22" s="20">
        <v>16</v>
      </c>
      <c r="B22" s="319" t="s">
        <v>622</v>
      </c>
      <c r="C22" s="306" t="s">
        <v>713</v>
      </c>
      <c r="D22" s="302" t="s">
        <v>698</v>
      </c>
      <c r="E22" s="304">
        <v>0</v>
      </c>
      <c r="F22" s="201">
        <f>8200+16400+8200</f>
        <v>32800</v>
      </c>
      <c r="G22" s="201">
        <f t="shared" si="0"/>
        <v>32800</v>
      </c>
      <c r="I22" s="305" t="s">
        <v>533</v>
      </c>
    </row>
    <row r="23" spans="1:10" ht="15.75" x14ac:dyDescent="0.25">
      <c r="A23" s="20">
        <v>17</v>
      </c>
      <c r="B23" s="20" t="s">
        <v>714</v>
      </c>
      <c r="C23" s="20" t="s">
        <v>715</v>
      </c>
      <c r="D23" s="318" t="s">
        <v>698</v>
      </c>
      <c r="E23" s="304">
        <v>0</v>
      </c>
      <c r="F23" s="201">
        <v>35260</v>
      </c>
      <c r="G23" s="201">
        <f t="shared" si="0"/>
        <v>35260</v>
      </c>
      <c r="I23" s="305"/>
    </row>
    <row r="24" spans="1:10" ht="15.75" x14ac:dyDescent="0.25">
      <c r="A24" s="20">
        <v>18</v>
      </c>
      <c r="B24" s="20" t="s">
        <v>716</v>
      </c>
      <c r="C24" s="301" t="s">
        <v>649</v>
      </c>
      <c r="D24" s="302" t="s">
        <v>698</v>
      </c>
      <c r="E24" s="304">
        <v>0</v>
      </c>
      <c r="F24" s="16">
        <f>6630+6630+3000+3000+3000+3000+3000+4000+3000+4000+4000+4000+3000+3000+3000+3000+2000+2000+4000+4000+2000+2000+2000+2000+2000+2000+3000+3000+4000+4000+2000+2000+2000+2000+2000+2000+3000+3000+5000</f>
        <v>120260</v>
      </c>
      <c r="G24" s="201">
        <f t="shared" si="0"/>
        <v>120260</v>
      </c>
      <c r="I24" s="303"/>
    </row>
    <row r="25" spans="1:10" ht="15.75" x14ac:dyDescent="0.25">
      <c r="A25" s="20">
        <v>19</v>
      </c>
      <c r="B25" s="20" t="s">
        <v>717</v>
      </c>
      <c r="C25" s="317" t="s">
        <v>718</v>
      </c>
      <c r="D25" s="318" t="s">
        <v>698</v>
      </c>
      <c r="E25" s="304">
        <v>12032.44</v>
      </c>
      <c r="F25" s="201">
        <v>2829168</v>
      </c>
      <c r="G25" s="201">
        <f t="shared" si="0"/>
        <v>2841200.44</v>
      </c>
      <c r="I25" s="303"/>
    </row>
    <row r="26" spans="1:10" ht="15.75" x14ac:dyDescent="0.25">
      <c r="A26" s="20">
        <v>20</v>
      </c>
      <c r="B26" s="319" t="s">
        <v>635</v>
      </c>
      <c r="C26" s="317" t="s">
        <v>706</v>
      </c>
      <c r="D26" s="318" t="s">
        <v>698</v>
      </c>
      <c r="E26" s="304">
        <f>53100+53100+59000+100300</f>
        <v>265500</v>
      </c>
      <c r="F26" s="201">
        <v>0</v>
      </c>
      <c r="G26" s="201">
        <f t="shared" si="0"/>
        <v>265500</v>
      </c>
      <c r="I26" s="303"/>
    </row>
    <row r="27" spans="1:10" ht="15.75" x14ac:dyDescent="0.25">
      <c r="A27" s="20">
        <v>21</v>
      </c>
      <c r="B27" s="20" t="s">
        <v>719</v>
      </c>
      <c r="C27" s="317" t="s">
        <v>720</v>
      </c>
      <c r="D27" s="302" t="s">
        <v>698</v>
      </c>
      <c r="E27" s="304">
        <v>0</v>
      </c>
      <c r="F27" s="201">
        <v>171000</v>
      </c>
      <c r="G27" s="201">
        <f t="shared" si="0"/>
        <v>171000</v>
      </c>
      <c r="I27" s="307"/>
    </row>
    <row r="28" spans="1:10" ht="15.75" x14ac:dyDescent="0.25">
      <c r="A28" s="20">
        <v>22</v>
      </c>
      <c r="B28" s="319" t="s">
        <v>721</v>
      </c>
      <c r="C28" s="317" t="s">
        <v>702</v>
      </c>
      <c r="D28" s="302" t="s">
        <v>698</v>
      </c>
      <c r="E28" s="304">
        <v>0</v>
      </c>
      <c r="F28" s="201">
        <v>5000</v>
      </c>
      <c r="G28" s="201">
        <f t="shared" si="0"/>
        <v>5000</v>
      </c>
      <c r="I28" s="303"/>
    </row>
    <row r="29" spans="1:10" ht="15.75" x14ac:dyDescent="0.25">
      <c r="A29" s="20">
        <v>23</v>
      </c>
      <c r="B29" s="319" t="s">
        <v>623</v>
      </c>
      <c r="C29" s="317" t="s">
        <v>618</v>
      </c>
      <c r="D29" s="302" t="s">
        <v>698</v>
      </c>
      <c r="E29" s="304">
        <v>0</v>
      </c>
      <c r="F29" s="16">
        <f>25200+85205+65205+15960+15960+230000.88+115000.44</f>
        <v>552531.32000000007</v>
      </c>
      <c r="G29" s="201">
        <f t="shared" si="0"/>
        <v>552531.32000000007</v>
      </c>
      <c r="I29" s="305"/>
    </row>
    <row r="30" spans="1:10" ht="15.75" x14ac:dyDescent="0.25">
      <c r="A30" s="20">
        <v>24</v>
      </c>
      <c r="B30" s="319" t="s">
        <v>722</v>
      </c>
      <c r="C30" s="317" t="s">
        <v>720</v>
      </c>
      <c r="D30" s="302" t="s">
        <v>698</v>
      </c>
      <c r="E30" s="304">
        <v>0</v>
      </c>
      <c r="F30" s="16">
        <f>18600+422500+112950</f>
        <v>554050</v>
      </c>
      <c r="G30" s="201">
        <f t="shared" si="0"/>
        <v>554050</v>
      </c>
      <c r="I30" s="305"/>
    </row>
    <row r="31" spans="1:10" ht="15.75" x14ac:dyDescent="0.25">
      <c r="A31" s="20">
        <v>25</v>
      </c>
      <c r="B31" s="319" t="s">
        <v>650</v>
      </c>
      <c r="C31" s="319" t="s">
        <v>618</v>
      </c>
      <c r="D31" s="302" t="s">
        <v>698</v>
      </c>
      <c r="E31" s="304">
        <v>0</v>
      </c>
      <c r="F31" s="16">
        <f>110448+110448+100300+100300+110448</f>
        <v>531944</v>
      </c>
      <c r="G31" s="201">
        <f t="shared" si="0"/>
        <v>531944</v>
      </c>
      <c r="I31" s="305"/>
    </row>
    <row r="32" spans="1:10" ht="15.75" x14ac:dyDescent="0.25">
      <c r="A32" s="20">
        <v>26</v>
      </c>
      <c r="B32" s="319" t="s">
        <v>723</v>
      </c>
      <c r="C32" s="311" t="s">
        <v>724</v>
      </c>
      <c r="D32" s="302" t="s">
        <v>698</v>
      </c>
      <c r="E32" s="304">
        <v>0</v>
      </c>
      <c r="F32" s="16">
        <v>200600</v>
      </c>
      <c r="G32" s="201">
        <f t="shared" si="0"/>
        <v>200600</v>
      </c>
      <c r="I32" s="305"/>
    </row>
    <row r="33" spans="1:9" ht="15.75" x14ac:dyDescent="0.25">
      <c r="A33" s="20">
        <v>27</v>
      </c>
      <c r="B33" s="320" t="s">
        <v>725</v>
      </c>
      <c r="C33" s="319" t="s">
        <v>713</v>
      </c>
      <c r="D33" s="302" t="s">
        <v>698</v>
      </c>
      <c r="E33" s="304">
        <v>0</v>
      </c>
      <c r="F33" s="16">
        <f>35512.14+35512.14+341691.56+341691.56+50000+21183.84+21183.84+3291.03+1038.4+3291.03+1038.4+50400+28335.86</f>
        <v>934169.79999999993</v>
      </c>
      <c r="G33" s="201">
        <f t="shared" si="0"/>
        <v>934169.79999999993</v>
      </c>
      <c r="I33" s="305"/>
    </row>
    <row r="34" spans="1:9" ht="15.75" x14ac:dyDescent="0.25">
      <c r="A34" s="20">
        <v>28</v>
      </c>
      <c r="B34" s="320" t="s">
        <v>725</v>
      </c>
      <c r="C34" s="317" t="s">
        <v>702</v>
      </c>
      <c r="D34" s="302" t="s">
        <v>698</v>
      </c>
      <c r="E34" s="304">
        <v>0</v>
      </c>
      <c r="F34" s="16">
        <f>161600+500000+161600</f>
        <v>823200</v>
      </c>
      <c r="G34" s="201">
        <f t="shared" si="0"/>
        <v>823200</v>
      </c>
      <c r="I34" s="305"/>
    </row>
    <row r="35" spans="1:9" ht="15.75" x14ac:dyDescent="0.25">
      <c r="A35" s="20">
        <v>29</v>
      </c>
      <c r="B35" s="320" t="s">
        <v>726</v>
      </c>
      <c r="C35" s="319" t="s">
        <v>713</v>
      </c>
      <c r="D35" s="302" t="s">
        <v>698</v>
      </c>
      <c r="E35" s="304">
        <v>0</v>
      </c>
      <c r="F35" s="16">
        <f>82970.45+82970.45</f>
        <v>165940.9</v>
      </c>
      <c r="G35" s="201">
        <f t="shared" si="0"/>
        <v>165940.9</v>
      </c>
      <c r="I35" s="305"/>
    </row>
    <row r="36" spans="1:9" ht="15.75" x14ac:dyDescent="0.25">
      <c r="A36" s="20">
        <v>30</v>
      </c>
      <c r="B36" s="320" t="s">
        <v>624</v>
      </c>
      <c r="C36" s="321" t="s">
        <v>718</v>
      </c>
      <c r="D36" s="302" t="s">
        <v>698</v>
      </c>
      <c r="E36" s="304">
        <v>0</v>
      </c>
      <c r="F36" s="16">
        <f>16649.88+16649.88</f>
        <v>33299.760000000002</v>
      </c>
      <c r="G36" s="201">
        <f t="shared" si="0"/>
        <v>33299.760000000002</v>
      </c>
      <c r="I36" s="305"/>
    </row>
    <row r="37" spans="1:9" ht="15.75" x14ac:dyDescent="0.25">
      <c r="A37" s="20">
        <v>31</v>
      </c>
      <c r="B37" s="322" t="s">
        <v>727</v>
      </c>
      <c r="C37" s="323" t="s">
        <v>728</v>
      </c>
      <c r="D37" s="302" t="s">
        <v>698</v>
      </c>
      <c r="E37" s="304">
        <v>99733.37</v>
      </c>
      <c r="F37" s="16">
        <v>427295.7</v>
      </c>
      <c r="G37" s="201">
        <f t="shared" si="0"/>
        <v>527029.07000000007</v>
      </c>
      <c r="I37" s="307"/>
    </row>
    <row r="38" spans="1:9" ht="15.75" x14ac:dyDescent="0.25">
      <c r="A38" s="20">
        <v>32</v>
      </c>
      <c r="B38" s="319" t="s">
        <v>625</v>
      </c>
      <c r="C38" s="319" t="s">
        <v>729</v>
      </c>
      <c r="D38" s="302" t="s">
        <v>698</v>
      </c>
      <c r="E38" s="304">
        <v>0</v>
      </c>
      <c r="F38" s="201">
        <f>675845.8+212954</f>
        <v>888799.8</v>
      </c>
      <c r="G38" s="201">
        <f t="shared" si="0"/>
        <v>888799.8</v>
      </c>
      <c r="I38" s="307"/>
    </row>
    <row r="39" spans="1:9" ht="15.75" x14ac:dyDescent="0.25">
      <c r="A39" s="20">
        <v>33</v>
      </c>
      <c r="B39" s="311" t="s">
        <v>730</v>
      </c>
      <c r="C39" s="323" t="s">
        <v>618</v>
      </c>
      <c r="D39" s="302" t="s">
        <v>698</v>
      </c>
      <c r="E39" s="304">
        <v>0</v>
      </c>
      <c r="F39" s="16">
        <v>94400</v>
      </c>
      <c r="G39" s="201">
        <f t="shared" si="0"/>
        <v>94400</v>
      </c>
      <c r="I39" s="307"/>
    </row>
    <row r="40" spans="1:9" ht="15.75" x14ac:dyDescent="0.25">
      <c r="A40" s="20">
        <v>34</v>
      </c>
      <c r="B40" s="311" t="s">
        <v>731</v>
      </c>
      <c r="C40" s="20" t="s">
        <v>618</v>
      </c>
      <c r="D40" s="302" t="s">
        <v>698</v>
      </c>
      <c r="E40" s="304">
        <v>0</v>
      </c>
      <c r="F40" s="16">
        <v>6842.82</v>
      </c>
      <c r="G40" s="201">
        <f t="shared" si="0"/>
        <v>6842.82</v>
      </c>
      <c r="I40" s="307"/>
    </row>
    <row r="41" spans="1:9" ht="15.75" x14ac:dyDescent="0.25">
      <c r="A41" s="20">
        <v>35</v>
      </c>
      <c r="B41" s="324" t="s">
        <v>732</v>
      </c>
      <c r="C41" s="325" t="s">
        <v>733</v>
      </c>
      <c r="D41" s="302" t="s">
        <v>698</v>
      </c>
      <c r="E41" s="304">
        <v>0</v>
      </c>
      <c r="F41" s="16">
        <f>5310+5310</f>
        <v>10620</v>
      </c>
      <c r="G41" s="201">
        <f t="shared" si="0"/>
        <v>10620</v>
      </c>
      <c r="I41" s="307"/>
    </row>
    <row r="42" spans="1:9" ht="15.75" x14ac:dyDescent="0.25">
      <c r="A42" s="20">
        <v>36</v>
      </c>
      <c r="B42" s="319" t="s">
        <v>734</v>
      </c>
      <c r="C42" s="323" t="s">
        <v>702</v>
      </c>
      <c r="D42" s="302" t="s">
        <v>698</v>
      </c>
      <c r="E42" s="304">
        <f>35136.55+35136.55+997350</f>
        <v>1067623.1000000001</v>
      </c>
      <c r="F42" s="16">
        <v>0</v>
      </c>
      <c r="G42" s="201">
        <f t="shared" si="0"/>
        <v>1067623.1000000001</v>
      </c>
      <c r="I42" s="303"/>
    </row>
    <row r="43" spans="1:9" ht="15.75" x14ac:dyDescent="0.25">
      <c r="A43" s="20">
        <v>37</v>
      </c>
      <c r="B43" s="324" t="s">
        <v>735</v>
      </c>
      <c r="C43" s="325" t="s">
        <v>618</v>
      </c>
      <c r="D43" s="302" t="s">
        <v>698</v>
      </c>
      <c r="E43" s="304">
        <v>0</v>
      </c>
      <c r="F43" s="16">
        <v>608880</v>
      </c>
      <c r="G43" s="201">
        <f t="shared" si="0"/>
        <v>608880</v>
      </c>
      <c r="I43" s="305"/>
    </row>
    <row r="44" spans="1:9" ht="15.75" x14ac:dyDescent="0.25">
      <c r="A44" s="20">
        <v>38</v>
      </c>
      <c r="B44" s="319" t="s">
        <v>651</v>
      </c>
      <c r="C44" s="20" t="s">
        <v>618</v>
      </c>
      <c r="D44" s="302" t="s">
        <v>698</v>
      </c>
      <c r="E44" s="304">
        <v>0</v>
      </c>
      <c r="F44" s="16">
        <f>22040+29000</f>
        <v>51040</v>
      </c>
      <c r="G44" s="201">
        <f t="shared" si="0"/>
        <v>51040</v>
      </c>
      <c r="I44" s="305"/>
    </row>
    <row r="45" spans="1:9" ht="15.75" x14ac:dyDescent="0.25">
      <c r="A45" s="20">
        <v>39</v>
      </c>
      <c r="B45" s="319" t="s">
        <v>627</v>
      </c>
      <c r="C45" s="323" t="s">
        <v>718</v>
      </c>
      <c r="D45" s="302" t="s">
        <v>698</v>
      </c>
      <c r="E45" s="304">
        <v>0</v>
      </c>
      <c r="F45" s="16">
        <f>753845.6+795152.2+795152.2</f>
        <v>2344150</v>
      </c>
      <c r="G45" s="201">
        <f t="shared" si="0"/>
        <v>2344150</v>
      </c>
      <c r="I45" s="305"/>
    </row>
    <row r="46" spans="1:9" ht="15.75" x14ac:dyDescent="0.25">
      <c r="A46" s="20">
        <v>40</v>
      </c>
      <c r="B46" s="319" t="s">
        <v>736</v>
      </c>
      <c r="C46" s="325" t="s">
        <v>626</v>
      </c>
      <c r="D46" s="302" t="s">
        <v>698</v>
      </c>
      <c r="E46" s="304">
        <v>0</v>
      </c>
      <c r="F46" s="16">
        <v>419200</v>
      </c>
      <c r="G46" s="201">
        <f t="shared" si="0"/>
        <v>419200</v>
      </c>
      <c r="I46" s="303"/>
    </row>
    <row r="47" spans="1:9" ht="15.75" x14ac:dyDescent="0.25">
      <c r="A47" s="20">
        <v>41</v>
      </c>
      <c r="B47" s="319" t="s">
        <v>652</v>
      </c>
      <c r="C47" s="326" t="s">
        <v>620</v>
      </c>
      <c r="D47" s="302" t="s">
        <v>698</v>
      </c>
      <c r="E47" s="304">
        <v>0</v>
      </c>
      <c r="F47" s="16">
        <v>140650.75</v>
      </c>
      <c r="G47" s="201">
        <f t="shared" si="0"/>
        <v>140650.75</v>
      </c>
      <c r="I47" s="303"/>
    </row>
    <row r="48" spans="1:9" ht="15.75" x14ac:dyDescent="0.25">
      <c r="A48" s="20">
        <v>42</v>
      </c>
      <c r="B48" s="319" t="s">
        <v>737</v>
      </c>
      <c r="C48" s="323" t="s">
        <v>618</v>
      </c>
      <c r="D48" s="302" t="s">
        <v>698</v>
      </c>
      <c r="E48" s="304">
        <v>0</v>
      </c>
      <c r="F48" s="16">
        <v>3467076</v>
      </c>
      <c r="G48" s="201">
        <f t="shared" si="0"/>
        <v>3467076</v>
      </c>
      <c r="I48" s="307"/>
    </row>
    <row r="49" spans="1:9" ht="15.75" x14ac:dyDescent="0.25">
      <c r="A49" s="20">
        <v>43</v>
      </c>
      <c r="B49" s="319" t="s">
        <v>738</v>
      </c>
      <c r="C49" s="321" t="s">
        <v>718</v>
      </c>
      <c r="D49" s="302" t="s">
        <v>698</v>
      </c>
      <c r="E49" s="304">
        <v>0</v>
      </c>
      <c r="F49" s="201">
        <f>127440+127440+191160+191160+17558.4</f>
        <v>654758.40000000002</v>
      </c>
      <c r="G49" s="201">
        <f t="shared" si="0"/>
        <v>654758.40000000002</v>
      </c>
      <c r="I49" s="307"/>
    </row>
    <row r="50" spans="1:9" ht="15.75" x14ac:dyDescent="0.25">
      <c r="A50" s="20">
        <v>44</v>
      </c>
      <c r="B50" s="319" t="s">
        <v>653</v>
      </c>
      <c r="C50" s="321" t="s">
        <v>739</v>
      </c>
      <c r="D50" s="302" t="s">
        <v>698</v>
      </c>
      <c r="E50" s="304">
        <v>0</v>
      </c>
      <c r="F50" s="16">
        <f>398026.98+398026.98+451287.46+40267.5+327765.95</f>
        <v>1615374.8699999999</v>
      </c>
      <c r="G50" s="201">
        <f t="shared" si="0"/>
        <v>1615374.8699999999</v>
      </c>
      <c r="I50" s="307"/>
    </row>
    <row r="51" spans="1:9" ht="15.75" x14ac:dyDescent="0.25">
      <c r="A51" s="20">
        <v>45</v>
      </c>
      <c r="B51" s="319" t="s">
        <v>628</v>
      </c>
      <c r="C51" s="323" t="s">
        <v>702</v>
      </c>
      <c r="D51" s="302" t="s">
        <v>698</v>
      </c>
      <c r="E51" s="304">
        <v>0</v>
      </c>
      <c r="F51" s="16">
        <f>432000+624000</f>
        <v>1056000</v>
      </c>
      <c r="G51" s="201">
        <f t="shared" si="0"/>
        <v>1056000</v>
      </c>
      <c r="I51" s="307"/>
    </row>
    <row r="52" spans="1:9" ht="15.75" x14ac:dyDescent="0.25">
      <c r="A52" s="20">
        <v>46</v>
      </c>
      <c r="B52" s="319" t="s">
        <v>740</v>
      </c>
      <c r="C52" s="321" t="s">
        <v>626</v>
      </c>
      <c r="D52" s="302" t="s">
        <v>698</v>
      </c>
      <c r="E52" s="304">
        <v>0</v>
      </c>
      <c r="F52" s="201">
        <f>1880000+877500</f>
        <v>2757500</v>
      </c>
      <c r="G52" s="201">
        <f t="shared" si="0"/>
        <v>2757500</v>
      </c>
      <c r="I52" s="307"/>
    </row>
    <row r="53" spans="1:9" ht="15.75" x14ac:dyDescent="0.25">
      <c r="A53" s="20">
        <v>47</v>
      </c>
      <c r="B53" s="319" t="s">
        <v>740</v>
      </c>
      <c r="C53" s="323" t="s">
        <v>741</v>
      </c>
      <c r="D53" s="302" t="s">
        <v>698</v>
      </c>
      <c r="E53" s="304">
        <v>750000</v>
      </c>
      <c r="F53" s="201">
        <v>0</v>
      </c>
      <c r="G53" s="201">
        <f t="shared" si="0"/>
        <v>750000</v>
      </c>
      <c r="I53" s="307"/>
    </row>
    <row r="54" spans="1:9" ht="15.75" x14ac:dyDescent="0.25">
      <c r="A54" s="20">
        <v>48</v>
      </c>
      <c r="B54" s="319" t="s">
        <v>654</v>
      </c>
      <c r="C54" s="321" t="s">
        <v>742</v>
      </c>
      <c r="D54" s="302" t="s">
        <v>698</v>
      </c>
      <c r="E54" s="304">
        <v>0</v>
      </c>
      <c r="F54" s="201">
        <v>100313.97</v>
      </c>
      <c r="G54" s="201">
        <f t="shared" si="0"/>
        <v>100313.97</v>
      </c>
      <c r="I54" s="307"/>
    </row>
    <row r="55" spans="1:9" ht="15.75" x14ac:dyDescent="0.25">
      <c r="A55" s="20">
        <v>49</v>
      </c>
      <c r="B55" s="319" t="s">
        <v>636</v>
      </c>
      <c r="C55" s="323" t="s">
        <v>743</v>
      </c>
      <c r="D55" s="302" t="s">
        <v>698</v>
      </c>
      <c r="E55" s="304">
        <v>93600</v>
      </c>
      <c r="F55" s="16">
        <v>0</v>
      </c>
      <c r="G55" s="201">
        <f t="shared" si="0"/>
        <v>93600</v>
      </c>
      <c r="I55" s="307"/>
    </row>
    <row r="56" spans="1:9" ht="15.75" x14ac:dyDescent="0.25">
      <c r="A56" s="20">
        <v>50</v>
      </c>
      <c r="B56" s="324" t="s">
        <v>744</v>
      </c>
      <c r="C56" s="325" t="s">
        <v>618</v>
      </c>
      <c r="D56" s="302" t="s">
        <v>698</v>
      </c>
      <c r="E56" s="304">
        <v>0</v>
      </c>
      <c r="F56" s="16">
        <v>227177.14</v>
      </c>
      <c r="G56" s="201">
        <f t="shared" si="0"/>
        <v>227177.14</v>
      </c>
      <c r="I56" s="307" t="s">
        <v>533</v>
      </c>
    </row>
    <row r="57" spans="1:9" ht="15.75" x14ac:dyDescent="0.25">
      <c r="A57" s="20">
        <v>51</v>
      </c>
      <c r="B57" s="324" t="s">
        <v>745</v>
      </c>
      <c r="C57" s="326" t="s">
        <v>618</v>
      </c>
      <c r="D57" s="302" t="s">
        <v>698</v>
      </c>
      <c r="E57" s="304">
        <v>0</v>
      </c>
      <c r="F57" s="16">
        <v>650000</v>
      </c>
      <c r="G57" s="201">
        <f t="shared" si="0"/>
        <v>650000</v>
      </c>
      <c r="I57" s="327"/>
    </row>
    <row r="58" spans="1:9" ht="15.75" x14ac:dyDescent="0.25">
      <c r="A58" s="20">
        <v>52</v>
      </c>
      <c r="B58" s="319" t="s">
        <v>746</v>
      </c>
      <c r="C58" s="323" t="s">
        <v>718</v>
      </c>
      <c r="D58" s="302" t="s">
        <v>698</v>
      </c>
      <c r="E58" s="304">
        <v>0</v>
      </c>
      <c r="F58" s="16">
        <v>522150</v>
      </c>
      <c r="G58" s="201">
        <f t="shared" si="0"/>
        <v>522150</v>
      </c>
      <c r="I58" s="307"/>
    </row>
    <row r="59" spans="1:9" ht="15.75" x14ac:dyDescent="0.25">
      <c r="A59" s="20">
        <v>53</v>
      </c>
      <c r="B59" s="319" t="s">
        <v>629</v>
      </c>
      <c r="C59" s="319" t="s">
        <v>713</v>
      </c>
      <c r="D59" s="302" t="s">
        <v>698</v>
      </c>
      <c r="E59" s="304">
        <f>6424+84897.5+19305</f>
        <v>110626.5</v>
      </c>
      <c r="F59" s="16">
        <f>84825+329810</f>
        <v>414635</v>
      </c>
      <c r="G59" s="201">
        <f t="shared" si="0"/>
        <v>525261.5</v>
      </c>
      <c r="I59" s="305"/>
    </row>
    <row r="60" spans="1:9" ht="15.75" x14ac:dyDescent="0.25">
      <c r="A60" s="20">
        <v>54</v>
      </c>
      <c r="B60" s="311" t="s">
        <v>747</v>
      </c>
      <c r="C60" s="321" t="s">
        <v>748</v>
      </c>
      <c r="D60" s="302" t="s">
        <v>698</v>
      </c>
      <c r="E60" s="304">
        <v>0</v>
      </c>
      <c r="F60" s="201">
        <f>85765+85535+116110+101330+81800</f>
        <v>470540</v>
      </c>
      <c r="G60" s="201">
        <f t="shared" si="0"/>
        <v>470540</v>
      </c>
      <c r="I60" s="305"/>
    </row>
    <row r="61" spans="1:9" ht="15.75" x14ac:dyDescent="0.25">
      <c r="A61" s="20">
        <v>55</v>
      </c>
      <c r="B61" s="319" t="s">
        <v>749</v>
      </c>
      <c r="C61" s="319" t="s">
        <v>626</v>
      </c>
      <c r="D61" s="302" t="s">
        <v>698</v>
      </c>
      <c r="E61" s="304">
        <f>980000+150000+1750000</f>
        <v>2880000</v>
      </c>
      <c r="F61" s="16">
        <f>1500000+99500+124000</f>
        <v>1723500</v>
      </c>
      <c r="G61" s="201">
        <f t="shared" si="0"/>
        <v>4603500</v>
      </c>
      <c r="I61" s="307"/>
    </row>
    <row r="62" spans="1:9" ht="15.75" x14ac:dyDescent="0.25">
      <c r="A62" s="20">
        <v>56</v>
      </c>
      <c r="B62" s="319" t="s">
        <v>750</v>
      </c>
      <c r="C62" s="321" t="s">
        <v>718</v>
      </c>
      <c r="D62" s="302" t="s">
        <v>698</v>
      </c>
      <c r="E62" s="304">
        <v>0</v>
      </c>
      <c r="F62" s="16">
        <f>150528.82+150528.82+1182017.8+5074+112100+4720+4720+4720+4720+4720+9440+40000+89056.96+17700+11800+158848.06+158848.06+107050.78+416564.78+89056.96+17700+11800+158848.06+158848.06+107050.78+416564.78+636456.6+41445.88+21365+14575+182000+182000+14945.88+9440+14750+24015+49440+9440+2912000+626042.32</f>
        <v>8330942.3999999994</v>
      </c>
      <c r="G62" s="201">
        <f t="shared" si="0"/>
        <v>8330942.3999999994</v>
      </c>
      <c r="I62" s="305"/>
    </row>
    <row r="63" spans="1:9" ht="15.75" x14ac:dyDescent="0.25">
      <c r="A63" s="20">
        <v>57</v>
      </c>
      <c r="B63" s="319" t="s">
        <v>750</v>
      </c>
      <c r="C63" s="321" t="s">
        <v>751</v>
      </c>
      <c r="D63" s="302" t="s">
        <v>698</v>
      </c>
      <c r="E63" s="304">
        <v>0</v>
      </c>
      <c r="F63" s="201">
        <f>9440+40000+9440+9440+94440+52074+24015+9440</f>
        <v>248289</v>
      </c>
      <c r="G63" s="201">
        <f t="shared" si="0"/>
        <v>248289</v>
      </c>
      <c r="I63" s="305"/>
    </row>
    <row r="64" spans="1:9" ht="15.75" x14ac:dyDescent="0.25">
      <c r="A64" s="20">
        <v>58</v>
      </c>
      <c r="B64" s="319" t="s">
        <v>630</v>
      </c>
      <c r="C64" s="323" t="s">
        <v>618</v>
      </c>
      <c r="D64" s="302" t="s">
        <v>698</v>
      </c>
      <c r="E64" s="304">
        <v>0</v>
      </c>
      <c r="F64" s="201">
        <f>92320+188800</f>
        <v>281120</v>
      </c>
      <c r="G64" s="201">
        <f t="shared" si="0"/>
        <v>281120</v>
      </c>
      <c r="I64" s="305"/>
    </row>
    <row r="65" spans="1:9" ht="15.75" x14ac:dyDescent="0.25">
      <c r="A65" s="20">
        <v>59</v>
      </c>
      <c r="B65" s="319" t="s">
        <v>637</v>
      </c>
      <c r="C65" s="321" t="s">
        <v>638</v>
      </c>
      <c r="D65" s="302" t="s">
        <v>698</v>
      </c>
      <c r="E65" s="304">
        <f>265859.73+10310+48042.94+219230.6</f>
        <v>543443.27</v>
      </c>
      <c r="F65" s="201">
        <v>0</v>
      </c>
      <c r="G65" s="201">
        <f t="shared" si="0"/>
        <v>543443.27</v>
      </c>
      <c r="I65" s="305"/>
    </row>
    <row r="66" spans="1:9" ht="15.75" x14ac:dyDescent="0.25">
      <c r="A66" s="20">
        <v>60</v>
      </c>
      <c r="B66" s="320" t="s">
        <v>752</v>
      </c>
      <c r="C66" s="321" t="s">
        <v>618</v>
      </c>
      <c r="D66" s="302" t="s">
        <v>698</v>
      </c>
      <c r="E66" s="304">
        <v>0</v>
      </c>
      <c r="F66" s="201">
        <f>1699200+38000+38000+1478372+336182+25000+13730.5+82274.13+13730.5+82274.13+435252</f>
        <v>4242015.26</v>
      </c>
      <c r="G66" s="201">
        <f t="shared" si="0"/>
        <v>4242015.26</v>
      </c>
      <c r="I66" s="305"/>
    </row>
    <row r="67" spans="1:9" ht="15.75" x14ac:dyDescent="0.25">
      <c r="A67" s="20">
        <v>61</v>
      </c>
      <c r="B67" s="311" t="s">
        <v>644</v>
      </c>
      <c r="C67" s="321" t="s">
        <v>645</v>
      </c>
      <c r="D67" s="302" t="s">
        <v>698</v>
      </c>
      <c r="E67" s="304">
        <v>0</v>
      </c>
      <c r="F67" s="16">
        <f>44132+44132</f>
        <v>88264</v>
      </c>
      <c r="G67" s="201">
        <f t="shared" si="0"/>
        <v>88264</v>
      </c>
      <c r="I67" s="307"/>
    </row>
    <row r="68" spans="1:9" ht="15.75" x14ac:dyDescent="0.25">
      <c r="A68" s="20">
        <v>62</v>
      </c>
      <c r="B68" s="319" t="s">
        <v>753</v>
      </c>
      <c r="C68" s="321" t="s">
        <v>754</v>
      </c>
      <c r="D68" s="302" t="s">
        <v>698</v>
      </c>
      <c r="E68" s="304">
        <v>0</v>
      </c>
      <c r="F68" s="16">
        <f>8000+8000+8000+8000+8000+8000+8000</f>
        <v>56000</v>
      </c>
      <c r="G68" s="201">
        <f t="shared" si="0"/>
        <v>56000</v>
      </c>
      <c r="I68" s="303"/>
    </row>
    <row r="69" spans="1:9" ht="15.75" x14ac:dyDescent="0.25">
      <c r="A69" s="20">
        <v>63</v>
      </c>
      <c r="B69" s="319" t="s">
        <v>631</v>
      </c>
      <c r="C69" s="321" t="s">
        <v>755</v>
      </c>
      <c r="D69" s="302" t="s">
        <v>698</v>
      </c>
      <c r="E69" s="304">
        <v>0</v>
      </c>
      <c r="F69" s="16">
        <f>5124+5339.21+7686+9607.5+11439+12710+11439+9532.5+11439+12710+12710+1906.5+12710+12710+6804.93+6804.93+6804.93+5612.74+7871.23+7871.23+12950.04+12710+10217.25+6288.82+5644</f>
        <v>226642.81</v>
      </c>
      <c r="G69" s="201">
        <f t="shared" si="0"/>
        <v>226642.81</v>
      </c>
      <c r="I69" s="305"/>
    </row>
    <row r="70" spans="1:9" ht="15.75" x14ac:dyDescent="0.25">
      <c r="A70" s="328" t="s">
        <v>533</v>
      </c>
      <c r="B70" s="328"/>
      <c r="C70" s="328"/>
      <c r="D70" s="329"/>
      <c r="E70" s="330">
        <f>SUM(E8:E69)</f>
        <v>10141750.66</v>
      </c>
      <c r="F70" s="330">
        <f>SUM(F8:F69)</f>
        <v>49788817.810000002</v>
      </c>
      <c r="G70" s="330">
        <f>SUM(G8:G69)</f>
        <v>59930568.470000006</v>
      </c>
      <c r="I70" s="307"/>
    </row>
    <row r="71" spans="1:9" ht="15.75" x14ac:dyDescent="0.25">
      <c r="A71" s="331" t="s">
        <v>533</v>
      </c>
      <c r="E71" s="140"/>
      <c r="F71" s="140" t="s">
        <v>533</v>
      </c>
      <c r="G71" s="140"/>
      <c r="I71" s="303"/>
    </row>
    <row r="72" spans="1:9" ht="15.75" x14ac:dyDescent="0.25">
      <c r="E72" s="140" t="s">
        <v>533</v>
      </c>
      <c r="F72" s="55"/>
      <c r="G72" s="140" t="s">
        <v>533</v>
      </c>
      <c r="I72" s="305"/>
    </row>
    <row r="73" spans="1:9" ht="15.75" x14ac:dyDescent="0.25">
      <c r="E73" s="140" t="s">
        <v>533</v>
      </c>
      <c r="G73" s="140" t="s">
        <v>533</v>
      </c>
      <c r="I73" s="305"/>
    </row>
    <row r="74" spans="1:9" ht="15.75" x14ac:dyDescent="0.25">
      <c r="E74" s="332" t="s">
        <v>533</v>
      </c>
      <c r="G74" s="140" t="s">
        <v>533</v>
      </c>
      <c r="I74" s="307"/>
    </row>
    <row r="75" spans="1:9" ht="15.75" x14ac:dyDescent="0.25">
      <c r="G75" s="140" t="s">
        <v>756</v>
      </c>
      <c r="I75" s="307"/>
    </row>
    <row r="76" spans="1:9" ht="15.75" x14ac:dyDescent="0.25">
      <c r="G76" s="140" t="s">
        <v>533</v>
      </c>
      <c r="I76" s="305"/>
    </row>
    <row r="77" spans="1:9" ht="15.75" x14ac:dyDescent="0.25">
      <c r="G77" s="140" t="s">
        <v>533</v>
      </c>
      <c r="I77" s="305"/>
    </row>
    <row r="78" spans="1:9" ht="15.75" x14ac:dyDescent="0.25">
      <c r="G78" s="140" t="s">
        <v>533</v>
      </c>
      <c r="I78" s="305"/>
    </row>
    <row r="79" spans="1:9" ht="15.75" x14ac:dyDescent="0.25">
      <c r="G79" s="140" t="s">
        <v>533</v>
      </c>
      <c r="I79" s="307"/>
    </row>
    <row r="80" spans="1:9" ht="15.75" x14ac:dyDescent="0.25">
      <c r="G80" s="140" t="s">
        <v>756</v>
      </c>
      <c r="I80" s="303"/>
    </row>
    <row r="81" spans="7:9" ht="15.75" x14ac:dyDescent="0.25">
      <c r="G81" s="140" t="s">
        <v>533</v>
      </c>
      <c r="I81" s="303"/>
    </row>
    <row r="82" spans="7:9" ht="15.75" x14ac:dyDescent="0.25">
      <c r="I82" s="307"/>
    </row>
    <row r="83" spans="7:9" ht="15.75" x14ac:dyDescent="0.25">
      <c r="I83" s="305"/>
    </row>
    <row r="84" spans="7:9" ht="15.75" x14ac:dyDescent="0.25">
      <c r="I84" s="305"/>
    </row>
    <row r="85" spans="7:9" ht="15.75" x14ac:dyDescent="0.25">
      <c r="I85" s="307"/>
    </row>
    <row r="86" spans="7:9" ht="15.75" x14ac:dyDescent="0.25">
      <c r="I86" s="307"/>
    </row>
    <row r="87" spans="7:9" ht="15.75" x14ac:dyDescent="0.25">
      <c r="I87" s="307"/>
    </row>
    <row r="88" spans="7:9" ht="15.75" x14ac:dyDescent="0.25">
      <c r="I88" s="307"/>
    </row>
    <row r="89" spans="7:9" ht="15.75" x14ac:dyDescent="0.25">
      <c r="I89" s="307"/>
    </row>
    <row r="90" spans="7:9" ht="15.75" x14ac:dyDescent="0.25">
      <c r="I90" s="307"/>
    </row>
    <row r="91" spans="7:9" ht="15.75" x14ac:dyDescent="0.25">
      <c r="I91" s="307"/>
    </row>
    <row r="92" spans="7:9" ht="15.75" x14ac:dyDescent="0.25">
      <c r="I92" s="305"/>
    </row>
    <row r="93" spans="7:9" ht="15.75" x14ac:dyDescent="0.25">
      <c r="I93" s="307"/>
    </row>
    <row r="94" spans="7:9" ht="15.75" x14ac:dyDescent="0.25">
      <c r="I94" s="307"/>
    </row>
    <row r="95" spans="7:9" ht="15.75" x14ac:dyDescent="0.25">
      <c r="I95" s="307"/>
    </row>
    <row r="96" spans="7:9" ht="15.75" x14ac:dyDescent="0.25">
      <c r="I96" s="307"/>
    </row>
    <row r="97" spans="9:9" ht="15.75" x14ac:dyDescent="0.25">
      <c r="I97" s="307"/>
    </row>
    <row r="98" spans="9:9" ht="15.75" x14ac:dyDescent="0.25">
      <c r="I98" s="305"/>
    </row>
    <row r="99" spans="9:9" ht="15.75" x14ac:dyDescent="0.25">
      <c r="I99" s="307"/>
    </row>
    <row r="100" spans="9:9" ht="15.75" x14ac:dyDescent="0.25">
      <c r="I100" s="305"/>
    </row>
    <row r="101" spans="9:9" ht="15.75" x14ac:dyDescent="0.25">
      <c r="I101" s="307"/>
    </row>
    <row r="102" spans="9:9" ht="15.75" x14ac:dyDescent="0.25">
      <c r="I102" s="305"/>
    </row>
    <row r="103" spans="9:9" ht="15.75" x14ac:dyDescent="0.25">
      <c r="I103" s="305"/>
    </row>
    <row r="104" spans="9:9" ht="15.75" x14ac:dyDescent="0.25">
      <c r="I104" s="307"/>
    </row>
    <row r="105" spans="9:9" ht="15.75" x14ac:dyDescent="0.25">
      <c r="I105" s="305"/>
    </row>
    <row r="106" spans="9:9" ht="15.75" x14ac:dyDescent="0.25">
      <c r="I106" s="333"/>
    </row>
    <row r="107" spans="9:9" ht="15.75" x14ac:dyDescent="0.25">
      <c r="I107" s="305"/>
    </row>
    <row r="108" spans="9:9" ht="15.75" x14ac:dyDescent="0.25">
      <c r="I108" s="307"/>
    </row>
    <row r="109" spans="9:9" ht="15.75" x14ac:dyDescent="0.25">
      <c r="I109" s="307"/>
    </row>
    <row r="110" spans="9:9" ht="15.75" x14ac:dyDescent="0.25">
      <c r="I110" s="334"/>
    </row>
    <row r="111" spans="9:9" ht="15.75" x14ac:dyDescent="0.25">
      <c r="I111" s="307"/>
    </row>
    <row r="112" spans="9:9" ht="15.75" x14ac:dyDescent="0.25">
      <c r="I112" s="307"/>
    </row>
    <row r="113" spans="9:9" ht="15.75" x14ac:dyDescent="0.25">
      <c r="I113" s="307"/>
    </row>
    <row r="114" spans="9:9" ht="15.75" x14ac:dyDescent="0.25">
      <c r="I114" s="307"/>
    </row>
    <row r="115" spans="9:9" ht="15.75" x14ac:dyDescent="0.25">
      <c r="I115" s="305"/>
    </row>
    <row r="116" spans="9:9" ht="15.75" x14ac:dyDescent="0.25">
      <c r="I116" s="305"/>
    </row>
    <row r="117" spans="9:9" ht="15.75" x14ac:dyDescent="0.25">
      <c r="I117" s="305"/>
    </row>
    <row r="118" spans="9:9" ht="15.75" x14ac:dyDescent="0.25">
      <c r="I118" s="307"/>
    </row>
    <row r="119" spans="9:9" ht="15.75" x14ac:dyDescent="0.25">
      <c r="I119" s="307"/>
    </row>
    <row r="120" spans="9:9" ht="15.75" x14ac:dyDescent="0.25">
      <c r="I120" s="305"/>
    </row>
    <row r="121" spans="9:9" ht="15.75" x14ac:dyDescent="0.25">
      <c r="I121" s="305"/>
    </row>
    <row r="122" spans="9:9" ht="15.75" x14ac:dyDescent="0.25">
      <c r="I122" s="307"/>
    </row>
    <row r="123" spans="9:9" ht="15.75" x14ac:dyDescent="0.25">
      <c r="I123" s="307"/>
    </row>
    <row r="124" spans="9:9" ht="15.75" x14ac:dyDescent="0.25">
      <c r="I124" s="305"/>
    </row>
    <row r="125" spans="9:9" ht="15.75" x14ac:dyDescent="0.25">
      <c r="I125" s="305"/>
    </row>
    <row r="126" spans="9:9" ht="15.75" x14ac:dyDescent="0.25">
      <c r="I126" s="305"/>
    </row>
    <row r="127" spans="9:9" ht="15.75" x14ac:dyDescent="0.25">
      <c r="I127" s="307"/>
    </row>
    <row r="128" spans="9:9" ht="15.75" x14ac:dyDescent="0.25">
      <c r="I128" s="307"/>
    </row>
    <row r="129" spans="9:9" ht="15.75" x14ac:dyDescent="0.25">
      <c r="I129" s="307"/>
    </row>
    <row r="130" spans="9:9" ht="15.75" x14ac:dyDescent="0.25">
      <c r="I130" s="305"/>
    </row>
    <row r="131" spans="9:9" ht="15.75" x14ac:dyDescent="0.25">
      <c r="I131" s="305"/>
    </row>
    <row r="132" spans="9:9" ht="15.75" x14ac:dyDescent="0.25">
      <c r="I132" s="307"/>
    </row>
    <row r="133" spans="9:9" ht="15.75" x14ac:dyDescent="0.25">
      <c r="I133" s="305"/>
    </row>
    <row r="134" spans="9:9" ht="15.75" x14ac:dyDescent="0.25">
      <c r="I134" s="307"/>
    </row>
    <row r="135" spans="9:9" ht="15.75" x14ac:dyDescent="0.25">
      <c r="I135" s="307"/>
    </row>
    <row r="136" spans="9:9" ht="15.75" x14ac:dyDescent="0.25">
      <c r="I136" s="305"/>
    </row>
    <row r="137" spans="9:9" ht="15.75" x14ac:dyDescent="0.25">
      <c r="I137" s="305"/>
    </row>
    <row r="138" spans="9:9" ht="15.75" x14ac:dyDescent="0.25">
      <c r="I138" s="307"/>
    </row>
    <row r="139" spans="9:9" ht="15.75" x14ac:dyDescent="0.25">
      <c r="I139" s="307"/>
    </row>
    <row r="140" spans="9:9" ht="15.75" x14ac:dyDescent="0.25">
      <c r="I140" s="305"/>
    </row>
    <row r="141" spans="9:9" ht="15.75" x14ac:dyDescent="0.25">
      <c r="I141" s="305"/>
    </row>
    <row r="142" spans="9:9" ht="15.75" x14ac:dyDescent="0.25">
      <c r="I142" s="305"/>
    </row>
    <row r="143" spans="9:9" ht="15.75" x14ac:dyDescent="0.25">
      <c r="I143" s="305"/>
    </row>
    <row r="144" spans="9:9" ht="15.75" x14ac:dyDescent="0.25">
      <c r="I144" s="305"/>
    </row>
    <row r="145" spans="9:9" ht="15.75" x14ac:dyDescent="0.25">
      <c r="I145" s="305"/>
    </row>
    <row r="146" spans="9:9" ht="15.75" x14ac:dyDescent="0.25">
      <c r="I146" s="307"/>
    </row>
    <row r="147" spans="9:9" ht="15.75" x14ac:dyDescent="0.25">
      <c r="I147" s="305"/>
    </row>
    <row r="148" spans="9:9" ht="15.75" x14ac:dyDescent="0.25">
      <c r="I148" s="305"/>
    </row>
    <row r="149" spans="9:9" ht="15.75" x14ac:dyDescent="0.25">
      <c r="I149" s="303"/>
    </row>
    <row r="150" spans="9:9" ht="15.75" x14ac:dyDescent="0.25">
      <c r="I150" s="305"/>
    </row>
    <row r="151" spans="9:9" ht="15.75" x14ac:dyDescent="0.25">
      <c r="I151" s="307"/>
    </row>
    <row r="152" spans="9:9" ht="15.75" x14ac:dyDescent="0.25">
      <c r="I152" s="305"/>
    </row>
    <row r="153" spans="9:9" ht="15.75" x14ac:dyDescent="0.25">
      <c r="I153" s="305"/>
    </row>
    <row r="154" spans="9:9" ht="15.75" x14ac:dyDescent="0.25">
      <c r="I154" s="305"/>
    </row>
    <row r="155" spans="9:9" ht="15.75" x14ac:dyDescent="0.25">
      <c r="I155" s="307"/>
    </row>
    <row r="156" spans="9:9" ht="15.75" x14ac:dyDescent="0.25">
      <c r="I156" s="305"/>
    </row>
    <row r="157" spans="9:9" ht="15.75" x14ac:dyDescent="0.25">
      <c r="I157" s="305"/>
    </row>
    <row r="158" spans="9:9" ht="15.75" x14ac:dyDescent="0.25">
      <c r="I158" s="305"/>
    </row>
    <row r="159" spans="9:9" ht="15.75" x14ac:dyDescent="0.25">
      <c r="I159" s="305"/>
    </row>
    <row r="160" spans="9:9" ht="15.75" x14ac:dyDescent="0.25">
      <c r="I160" s="307"/>
    </row>
    <row r="161" spans="9:9" ht="15.75" x14ac:dyDescent="0.25">
      <c r="I161" s="305"/>
    </row>
    <row r="162" spans="9:9" ht="15.75" x14ac:dyDescent="0.25">
      <c r="I162" s="305"/>
    </row>
    <row r="163" spans="9:9" ht="15.75" x14ac:dyDescent="0.25">
      <c r="I163" s="303"/>
    </row>
    <row r="164" spans="9:9" ht="15.75" x14ac:dyDescent="0.25">
      <c r="I164" s="305"/>
    </row>
    <row r="165" spans="9:9" ht="15.75" x14ac:dyDescent="0.25">
      <c r="I165" s="305"/>
    </row>
    <row r="166" spans="9:9" ht="15.75" x14ac:dyDescent="0.25">
      <c r="I166" s="305"/>
    </row>
    <row r="167" spans="9:9" ht="15.75" x14ac:dyDescent="0.25">
      <c r="I167" s="303"/>
    </row>
    <row r="168" spans="9:9" ht="15.75" x14ac:dyDescent="0.25">
      <c r="I168" s="305"/>
    </row>
    <row r="169" spans="9:9" ht="15.75" x14ac:dyDescent="0.25">
      <c r="I169" s="307"/>
    </row>
    <row r="170" spans="9:9" ht="15.75" x14ac:dyDescent="0.25">
      <c r="I170" s="305"/>
    </row>
    <row r="171" spans="9:9" ht="15.75" x14ac:dyDescent="0.25">
      <c r="I171" s="307"/>
    </row>
    <row r="172" spans="9:9" ht="15.75" x14ac:dyDescent="0.25">
      <c r="I172" s="305"/>
    </row>
    <row r="173" spans="9:9" x14ac:dyDescent="0.25">
      <c r="I173" s="335"/>
    </row>
    <row r="174" spans="9:9" x14ac:dyDescent="0.25">
      <c r="I174" s="335"/>
    </row>
    <row r="175" spans="9:9" x14ac:dyDescent="0.25">
      <c r="I175" s="335"/>
    </row>
    <row r="176" spans="9:9" x14ac:dyDescent="0.25">
      <c r="I176" s="335"/>
    </row>
    <row r="177" spans="9:9" x14ac:dyDescent="0.25">
      <c r="I177" s="335"/>
    </row>
    <row r="178" spans="9:9" x14ac:dyDescent="0.25">
      <c r="I178" s="335"/>
    </row>
    <row r="179" spans="9:9" x14ac:dyDescent="0.25">
      <c r="I179" s="335"/>
    </row>
    <row r="180" spans="9:9" x14ac:dyDescent="0.25">
      <c r="I180" s="335"/>
    </row>
    <row r="181" spans="9:9" x14ac:dyDescent="0.25">
      <c r="I181" s="335"/>
    </row>
    <row r="182" spans="9:9" x14ac:dyDescent="0.25">
      <c r="I182" s="335"/>
    </row>
    <row r="183" spans="9:9" x14ac:dyDescent="0.25">
      <c r="I183" s="335"/>
    </row>
    <row r="184" spans="9:9" x14ac:dyDescent="0.25">
      <c r="I184" s="335"/>
    </row>
    <row r="185" spans="9:9" x14ac:dyDescent="0.25">
      <c r="I185" s="335"/>
    </row>
    <row r="186" spans="9:9" x14ac:dyDescent="0.25">
      <c r="I186" s="335"/>
    </row>
    <row r="187" spans="9:9" x14ac:dyDescent="0.25">
      <c r="I187" s="335"/>
    </row>
    <row r="188" spans="9:9" x14ac:dyDescent="0.25">
      <c r="I188" s="335"/>
    </row>
    <row r="189" spans="9:9" x14ac:dyDescent="0.25">
      <c r="I189" s="335"/>
    </row>
    <row r="190" spans="9:9" x14ac:dyDescent="0.25">
      <c r="I190" s="335"/>
    </row>
    <row r="191" spans="9:9" x14ac:dyDescent="0.25">
      <c r="I191" s="335"/>
    </row>
    <row r="192" spans="9:9" x14ac:dyDescent="0.25">
      <c r="I192" s="335"/>
    </row>
    <row r="193" spans="9:9" x14ac:dyDescent="0.25">
      <c r="I193" s="335"/>
    </row>
    <row r="194" spans="9:9" x14ac:dyDescent="0.25">
      <c r="I194" s="335"/>
    </row>
    <row r="195" spans="9:9" x14ac:dyDescent="0.25">
      <c r="I195" s="335"/>
    </row>
    <row r="196" spans="9:9" x14ac:dyDescent="0.25">
      <c r="I196" s="335"/>
    </row>
    <row r="197" spans="9:9" x14ac:dyDescent="0.25">
      <c r="I197" s="335"/>
    </row>
    <row r="198" spans="9:9" x14ac:dyDescent="0.25">
      <c r="I198" s="335"/>
    </row>
    <row r="199" spans="9:9" x14ac:dyDescent="0.25">
      <c r="I199" s="335"/>
    </row>
    <row r="200" spans="9:9" x14ac:dyDescent="0.25">
      <c r="I200" s="335"/>
    </row>
    <row r="201" spans="9:9" x14ac:dyDescent="0.25">
      <c r="I201" s="335"/>
    </row>
    <row r="202" spans="9:9" x14ac:dyDescent="0.25">
      <c r="I202" s="335"/>
    </row>
    <row r="203" spans="9:9" x14ac:dyDescent="0.25">
      <c r="I203" s="335"/>
    </row>
    <row r="204" spans="9:9" x14ac:dyDescent="0.25">
      <c r="I204" s="335"/>
    </row>
  </sheetData>
  <mergeCells count="3">
    <mergeCell ref="A1:G1"/>
    <mergeCell ref="A2:G2"/>
    <mergeCell ref="A3:G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4"/>
  <sheetViews>
    <sheetView topLeftCell="A22" workbookViewId="0">
      <selection activeCell="I26" sqref="I26"/>
    </sheetView>
  </sheetViews>
  <sheetFormatPr baseColWidth="10" defaultColWidth="9.140625" defaultRowHeight="15" x14ac:dyDescent="0.25"/>
  <cols>
    <col min="1" max="1" width="40" customWidth="1"/>
    <col min="2" max="2" width="15.42578125" customWidth="1"/>
    <col min="3" max="3" width="15" customWidth="1"/>
    <col min="4" max="4" width="13.85546875" customWidth="1"/>
    <col min="5" max="5" width="21.140625" customWidth="1"/>
    <col min="6" max="6" width="23" customWidth="1"/>
    <col min="7" max="7" width="17.85546875" customWidth="1"/>
    <col min="8" max="8" width="20.140625" customWidth="1"/>
    <col min="9" max="9" width="17.42578125" customWidth="1"/>
    <col min="10" max="10" width="14.42578125" customWidth="1"/>
    <col min="11" max="11" width="14.7109375" customWidth="1"/>
    <col min="12" max="12" width="14.42578125" customWidth="1"/>
    <col min="13" max="13" width="13.85546875" customWidth="1"/>
    <col min="14" max="14" width="15.42578125" customWidth="1"/>
  </cols>
  <sheetData>
    <row r="1" spans="1:14" ht="18.75" x14ac:dyDescent="0.25">
      <c r="A1" s="459" t="s">
        <v>102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</row>
    <row r="2" spans="1:14" ht="18.75" x14ac:dyDescent="0.25">
      <c r="A2" s="459" t="s">
        <v>103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</row>
    <row r="3" spans="1:14" ht="18.75" x14ac:dyDescent="0.25">
      <c r="A3" s="459" t="s">
        <v>104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</row>
    <row r="4" spans="1:14" ht="15.75" x14ac:dyDescent="0.25">
      <c r="A4" s="460" t="s">
        <v>105</v>
      </c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</row>
    <row r="5" spans="1:14" x14ac:dyDescent="0.25">
      <c r="A5" s="461"/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</row>
    <row r="7" spans="1:14" ht="15.75" x14ac:dyDescent="0.25">
      <c r="A7" s="12" t="s">
        <v>0</v>
      </c>
      <c r="B7" s="13" t="s">
        <v>94</v>
      </c>
      <c r="C7" s="13" t="s">
        <v>79</v>
      </c>
      <c r="D7" s="13" t="s">
        <v>80</v>
      </c>
      <c r="E7" s="13" t="s">
        <v>81</v>
      </c>
      <c r="F7" s="13" t="s">
        <v>82</v>
      </c>
      <c r="G7" s="13" t="s">
        <v>83</v>
      </c>
      <c r="H7" s="13" t="s">
        <v>84</v>
      </c>
      <c r="I7" s="13" t="s">
        <v>85</v>
      </c>
      <c r="J7" s="13" t="s">
        <v>86</v>
      </c>
      <c r="K7" s="13" t="s">
        <v>87</v>
      </c>
      <c r="L7" s="13" t="s">
        <v>88</v>
      </c>
      <c r="M7" s="13" t="s">
        <v>89</v>
      </c>
      <c r="N7" s="13" t="s">
        <v>90</v>
      </c>
    </row>
    <row r="8" spans="1:14" x14ac:dyDescent="0.25">
      <c r="A8" s="14" t="s">
        <v>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 ht="30" x14ac:dyDescent="0.25">
      <c r="A9" s="9" t="s">
        <v>2</v>
      </c>
      <c r="B9" s="239">
        <f>SUM(C9:N9)</f>
        <v>190279697.03999999</v>
      </c>
      <c r="C9" s="30">
        <f>SUM(C10:C14)</f>
        <v>7630905.2699999996</v>
      </c>
      <c r="D9" s="30">
        <f t="shared" ref="D9:N9" si="0">SUM(D10:D14)</f>
        <v>3615381.9600000004</v>
      </c>
      <c r="E9" s="30">
        <f t="shared" si="0"/>
        <v>14139806.540000001</v>
      </c>
      <c r="F9" s="30">
        <f t="shared" si="0"/>
        <v>12920194.59</v>
      </c>
      <c r="G9" s="30">
        <f t="shared" si="0"/>
        <v>3078237.5</v>
      </c>
      <c r="H9" s="30">
        <f t="shared" si="0"/>
        <v>7998281.1999999993</v>
      </c>
      <c r="I9" s="30">
        <f t="shared" si="0"/>
        <v>28940110.989999995</v>
      </c>
      <c r="J9" s="30">
        <f t="shared" si="0"/>
        <v>6369646.3999999994</v>
      </c>
      <c r="K9" s="30">
        <f t="shared" si="0"/>
        <v>19878520.779999997</v>
      </c>
      <c r="L9" s="30">
        <f t="shared" si="0"/>
        <v>40262464.020000003</v>
      </c>
      <c r="M9" s="30">
        <f t="shared" si="0"/>
        <v>12792962</v>
      </c>
      <c r="N9" s="30">
        <f t="shared" si="0"/>
        <v>32653185.789999999</v>
      </c>
    </row>
    <row r="10" spans="1:14" x14ac:dyDescent="0.25">
      <c r="A10" s="18" t="s">
        <v>3</v>
      </c>
      <c r="B10" s="31">
        <f>SUM(C10:N10)</f>
        <v>73825283.000000015</v>
      </c>
      <c r="C10" s="19">
        <v>1725582.45</v>
      </c>
      <c r="D10" s="19">
        <f>[3]FEBRERO!$H$27</f>
        <v>3293635.0500000003</v>
      </c>
      <c r="E10" s="19">
        <f>3386553.48+186345.33</f>
        <v>3572898.81</v>
      </c>
      <c r="F10" s="19">
        <v>1999746.1</v>
      </c>
      <c r="G10" s="19">
        <v>2708975</v>
      </c>
      <c r="H10" s="19">
        <v>897818.73</v>
      </c>
      <c r="I10" s="19">
        <v>9788770.6899999995</v>
      </c>
      <c r="J10" s="19">
        <v>6196531.5999999996</v>
      </c>
      <c r="K10" s="19">
        <v>8190731.3099999996</v>
      </c>
      <c r="L10" s="19">
        <v>8706947.2699999996</v>
      </c>
      <c r="M10" s="19">
        <v>11400123.23</v>
      </c>
      <c r="N10" s="19">
        <v>15343522.76</v>
      </c>
    </row>
    <row r="11" spans="1:14" x14ac:dyDescent="0.25">
      <c r="A11" s="18" t="s">
        <v>4</v>
      </c>
      <c r="B11" s="31">
        <f t="shared" ref="B11:B14" si="1">SUM(C11:N11)</f>
        <v>108600948.52000001</v>
      </c>
      <c r="C11" s="19">
        <v>5647449.5599999996</v>
      </c>
      <c r="D11" s="19">
        <f>[3]FEBRERO!$H$53</f>
        <v>66413</v>
      </c>
      <c r="E11" s="19">
        <v>10311573.82</v>
      </c>
      <c r="F11" s="19">
        <v>10775837.960000001</v>
      </c>
      <c r="G11" s="19">
        <v>0</v>
      </c>
      <c r="H11" s="19">
        <v>7100462.4699999997</v>
      </c>
      <c r="I11" s="19">
        <v>17449237.509999998</v>
      </c>
      <c r="J11" s="19">
        <v>0</v>
      </c>
      <c r="K11" s="19">
        <v>10701471.66</v>
      </c>
      <c r="L11" s="19">
        <v>30424481.48</v>
      </c>
      <c r="M11" s="19">
        <v>0</v>
      </c>
      <c r="N11" s="19">
        <v>16124021.060000001</v>
      </c>
    </row>
    <row r="12" spans="1:14" ht="30" x14ac:dyDescent="0.25">
      <c r="A12" s="18" t="s">
        <v>37</v>
      </c>
      <c r="B12" s="31">
        <f t="shared" si="1"/>
        <v>0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 ht="30" x14ac:dyDescent="0.25">
      <c r="A13" s="18" t="s">
        <v>5</v>
      </c>
      <c r="B13" s="31">
        <f t="shared" si="1"/>
        <v>0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pans="1:14" ht="30" x14ac:dyDescent="0.25">
      <c r="A14" s="18" t="s">
        <v>6</v>
      </c>
      <c r="B14" s="31">
        <f t="shared" si="1"/>
        <v>7853465.5200000005</v>
      </c>
      <c r="C14" s="19">
        <v>257873.26</v>
      </c>
      <c r="D14" s="19">
        <f>[3]FEBRERO!$H$80</f>
        <v>255333.91</v>
      </c>
      <c r="E14" s="19">
        <v>255333.91</v>
      </c>
      <c r="F14" s="19">
        <v>144610.53</v>
      </c>
      <c r="G14" s="19">
        <v>369262.5</v>
      </c>
      <c r="H14" s="19"/>
      <c r="I14" s="19">
        <v>1702102.79</v>
      </c>
      <c r="J14" s="19">
        <v>173114.8</v>
      </c>
      <c r="K14" s="19">
        <v>986317.81</v>
      </c>
      <c r="L14" s="19">
        <v>1131035.27</v>
      </c>
      <c r="M14" s="19">
        <v>1392838.77</v>
      </c>
      <c r="N14" s="19">
        <v>1185641.97</v>
      </c>
    </row>
    <row r="15" spans="1:14" x14ac:dyDescent="0.25">
      <c r="A15" s="9" t="s">
        <v>7</v>
      </c>
      <c r="B15" s="29">
        <f>SUM(C15:N15)</f>
        <v>85697173.641000003</v>
      </c>
      <c r="C15" s="30">
        <f>SUM(C16:C24)</f>
        <v>37562.92</v>
      </c>
      <c r="D15" s="30">
        <f t="shared" ref="D15:N15" si="2">SUM(D16:D24)</f>
        <v>3857936.2899999996</v>
      </c>
      <c r="E15" s="30">
        <f t="shared" si="2"/>
        <v>31261267.640000001</v>
      </c>
      <c r="F15" s="30">
        <f t="shared" si="2"/>
        <v>4816707.7699999996</v>
      </c>
      <c r="G15" s="30">
        <f t="shared" si="2"/>
        <v>3949112.2600000002</v>
      </c>
      <c r="H15" s="30">
        <f t="shared" si="2"/>
        <v>7345119.79</v>
      </c>
      <c r="I15" s="30">
        <f t="shared" si="2"/>
        <v>4201278.3</v>
      </c>
      <c r="J15" s="30">
        <f t="shared" si="2"/>
        <v>5424416.7209999999</v>
      </c>
      <c r="K15" s="30">
        <f t="shared" si="2"/>
        <v>5534609.4500000002</v>
      </c>
      <c r="L15" s="30">
        <f t="shared" si="2"/>
        <v>7182525.4700000007</v>
      </c>
      <c r="M15" s="30">
        <f t="shared" si="2"/>
        <v>7355862.7000000002</v>
      </c>
      <c r="N15" s="30">
        <f t="shared" si="2"/>
        <v>4730774.33</v>
      </c>
    </row>
    <row r="16" spans="1:14" ht="14.25" customHeight="1" x14ac:dyDescent="0.25">
      <c r="A16" s="18" t="s">
        <v>8</v>
      </c>
      <c r="B16" s="31">
        <f t="shared" ref="B16:B24" si="3">SUM(C16:N16)</f>
        <v>13069843.030000001</v>
      </c>
      <c r="C16" s="19"/>
      <c r="D16" s="19"/>
      <c r="E16" s="19">
        <v>2668277.0999999996</v>
      </c>
      <c r="F16" s="19">
        <v>1564500</v>
      </c>
      <c r="G16" s="19">
        <v>1419852</v>
      </c>
      <c r="H16" s="19">
        <v>1233150.94</v>
      </c>
      <c r="I16" s="19">
        <v>331500.52</v>
      </c>
      <c r="J16" s="19">
        <v>1884723.73</v>
      </c>
      <c r="K16" s="19">
        <v>166178.06</v>
      </c>
      <c r="L16" s="19">
        <v>1655520.15</v>
      </c>
      <c r="M16" s="19">
        <v>2132940.5300000003</v>
      </c>
      <c r="N16" s="19">
        <v>13200</v>
      </c>
    </row>
    <row r="17" spans="1:14" ht="30" x14ac:dyDescent="0.25">
      <c r="A17" s="18" t="s">
        <v>9</v>
      </c>
      <c r="B17" s="31">
        <f>SUM(C17:N17)</f>
        <v>285573.03000000003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>
        <v>135477.03</v>
      </c>
      <c r="N17" s="19">
        <v>150096</v>
      </c>
    </row>
    <row r="18" spans="1:14" x14ac:dyDescent="0.25">
      <c r="A18" s="18" t="s">
        <v>10</v>
      </c>
      <c r="B18" s="31">
        <f t="shared" si="3"/>
        <v>0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ht="18" customHeight="1" x14ac:dyDescent="0.25">
      <c r="A19" s="18" t="s">
        <v>11</v>
      </c>
      <c r="B19" s="31">
        <f t="shared" si="3"/>
        <v>287616.7</v>
      </c>
      <c r="C19" s="19"/>
      <c r="D19" s="19">
        <v>4547.51</v>
      </c>
      <c r="E19" s="19">
        <v>16612.82</v>
      </c>
      <c r="F19" s="19"/>
      <c r="G19" s="19">
        <v>150000</v>
      </c>
      <c r="H19" s="19"/>
      <c r="I19" s="19"/>
      <c r="J19" s="19">
        <v>1100</v>
      </c>
      <c r="K19" s="19">
        <v>1210</v>
      </c>
      <c r="L19" s="19">
        <v>6378.7999999999993</v>
      </c>
      <c r="M19" s="19">
        <v>85957.57</v>
      </c>
      <c r="N19" s="19">
        <v>21810</v>
      </c>
    </row>
    <row r="20" spans="1:14" x14ac:dyDescent="0.25">
      <c r="A20" s="18" t="s">
        <v>12</v>
      </c>
      <c r="B20" s="31">
        <f t="shared" si="3"/>
        <v>4647483.88</v>
      </c>
      <c r="C20" s="19"/>
      <c r="D20" s="19"/>
      <c r="E20" s="19">
        <v>33200</v>
      </c>
      <c r="F20" s="19">
        <v>2500</v>
      </c>
      <c r="G20" s="19"/>
      <c r="H20" s="19">
        <v>2664344.54</v>
      </c>
      <c r="I20" s="19">
        <v>4159.34</v>
      </c>
      <c r="J20" s="19">
        <v>40980</v>
      </c>
      <c r="K20" s="19">
        <v>2500</v>
      </c>
      <c r="L20" s="19">
        <v>796500</v>
      </c>
      <c r="M20" s="19"/>
      <c r="N20" s="19">
        <v>1103300</v>
      </c>
    </row>
    <row r="21" spans="1:14" x14ac:dyDescent="0.25">
      <c r="A21" s="18" t="s">
        <v>13</v>
      </c>
      <c r="B21" s="31">
        <f t="shared" si="3"/>
        <v>4450347.5599999996</v>
      </c>
      <c r="C21" s="19"/>
      <c r="D21" s="19">
        <v>1187242.6499999999</v>
      </c>
      <c r="E21" s="19">
        <v>198975.03999999998</v>
      </c>
      <c r="F21" s="19">
        <v>239196.36</v>
      </c>
      <c r="G21" s="19">
        <v>351222.56</v>
      </c>
      <c r="H21" s="19">
        <v>335135.63</v>
      </c>
      <c r="I21" s="19">
        <v>150768</v>
      </c>
      <c r="J21" s="19">
        <v>534499.16</v>
      </c>
      <c r="K21" s="19">
        <v>359076</v>
      </c>
      <c r="L21" s="19">
        <v>371334.36</v>
      </c>
      <c r="M21" s="19">
        <v>371979.36</v>
      </c>
      <c r="N21" s="19">
        <v>350918.44</v>
      </c>
    </row>
    <row r="22" spans="1:14" ht="45" x14ac:dyDescent="0.25">
      <c r="A22" s="18" t="s">
        <v>14</v>
      </c>
      <c r="B22" s="31">
        <f t="shared" si="3"/>
        <v>35964725.681000002</v>
      </c>
      <c r="C22" s="19"/>
      <c r="D22" s="19">
        <v>100152.2</v>
      </c>
      <c r="E22" s="19">
        <v>26657004.84</v>
      </c>
      <c r="F22" s="19">
        <v>8142</v>
      </c>
      <c r="G22" s="19">
        <v>330370.05</v>
      </c>
      <c r="H22" s="19">
        <v>466115.19999999995</v>
      </c>
      <c r="I22" s="19">
        <v>2528755.92</v>
      </c>
      <c r="J22" s="19">
        <v>763682.04099999985</v>
      </c>
      <c r="K22" s="19">
        <v>186300.96</v>
      </c>
      <c r="L22" s="19">
        <v>2049806.2599999998</v>
      </c>
      <c r="M22" s="19">
        <v>2813685.7599999998</v>
      </c>
      <c r="N22" s="19">
        <v>60710.45</v>
      </c>
    </row>
    <row r="23" spans="1:14" ht="30" x14ac:dyDescent="0.25">
      <c r="A23" s="18" t="s">
        <v>15</v>
      </c>
      <c r="B23" s="31">
        <f t="shared" si="3"/>
        <v>15228269.449999999</v>
      </c>
      <c r="C23" s="19">
        <v>37562.92</v>
      </c>
      <c r="D23" s="19">
        <v>1392842.53</v>
      </c>
      <c r="E23" s="19">
        <v>1687197.84</v>
      </c>
      <c r="F23" s="19">
        <v>632000.75</v>
      </c>
      <c r="G23" s="19">
        <v>969348.05</v>
      </c>
      <c r="H23" s="19">
        <v>1843533.18</v>
      </c>
      <c r="I23" s="19">
        <v>412908.97</v>
      </c>
      <c r="J23" s="19">
        <v>1043934.49</v>
      </c>
      <c r="K23" s="19">
        <v>3716076.63</v>
      </c>
      <c r="L23" s="19">
        <v>1158362.8999999999</v>
      </c>
      <c r="M23" s="19">
        <v>624060.15</v>
      </c>
      <c r="N23" s="19">
        <v>1710441.04</v>
      </c>
    </row>
    <row r="24" spans="1:14" ht="30" x14ac:dyDescent="0.25">
      <c r="A24" s="18" t="s">
        <v>38</v>
      </c>
      <c r="B24" s="31">
        <f t="shared" si="3"/>
        <v>11763314.310000001</v>
      </c>
      <c r="C24" s="19"/>
      <c r="D24" s="19">
        <v>1173151.3999999999</v>
      </c>
      <c r="E24" s="19"/>
      <c r="F24" s="19">
        <v>2370368.66</v>
      </c>
      <c r="G24" s="19">
        <v>728319.6</v>
      </c>
      <c r="H24" s="19">
        <v>802840.3</v>
      </c>
      <c r="I24" s="19">
        <v>773185.55</v>
      </c>
      <c r="J24" s="19">
        <v>1155497.3</v>
      </c>
      <c r="K24" s="19">
        <v>1103267.8</v>
      </c>
      <c r="L24" s="19">
        <v>1144623</v>
      </c>
      <c r="M24" s="19">
        <v>1191762.3</v>
      </c>
      <c r="N24" s="19">
        <v>1320298.3999999999</v>
      </c>
    </row>
    <row r="25" spans="1:14" x14ac:dyDescent="0.25">
      <c r="A25" s="9" t="s">
        <v>16</v>
      </c>
      <c r="B25" s="29">
        <f>SUM(C25:N25)</f>
        <v>444437124.41599995</v>
      </c>
      <c r="C25" s="30">
        <f>SUM(C26:C34)</f>
        <v>11359379.41</v>
      </c>
      <c r="D25" s="30">
        <f t="shared" ref="D25:M25" si="4">SUM(D26:D34)</f>
        <v>46228413.760000005</v>
      </c>
      <c r="E25" s="30">
        <f t="shared" si="4"/>
        <v>27361438.550000004</v>
      </c>
      <c r="F25" s="30">
        <f t="shared" si="4"/>
        <v>20523367.899999999</v>
      </c>
      <c r="G25" s="30">
        <f t="shared" si="4"/>
        <v>35644853.500000007</v>
      </c>
      <c r="H25" s="30">
        <f t="shared" si="4"/>
        <v>36388757.620000005</v>
      </c>
      <c r="I25" s="30">
        <f t="shared" si="4"/>
        <v>47469095.75</v>
      </c>
      <c r="J25" s="30">
        <f t="shared" si="4"/>
        <v>41253682.450000003</v>
      </c>
      <c r="K25" s="30">
        <f t="shared" si="4"/>
        <v>48404161.57</v>
      </c>
      <c r="L25" s="30">
        <f t="shared" si="4"/>
        <v>47377324.150000006</v>
      </c>
      <c r="M25" s="30">
        <f t="shared" si="4"/>
        <v>42431967.936000004</v>
      </c>
      <c r="N25" s="30">
        <f>SUM(N26:N34)</f>
        <v>39994681.820000008</v>
      </c>
    </row>
    <row r="26" spans="1:14" ht="30" x14ac:dyDescent="0.25">
      <c r="A26" s="18" t="s">
        <v>17</v>
      </c>
      <c r="B26" s="31">
        <f t="shared" ref="B26:B32" si="5">SUM(C26:N26)</f>
        <v>20311036.189999998</v>
      </c>
      <c r="C26" s="19">
        <v>720157.43</v>
      </c>
      <c r="D26" s="19">
        <v>705924.62</v>
      </c>
      <c r="E26" s="19">
        <v>634164.62</v>
      </c>
      <c r="F26" s="19">
        <v>600957.87</v>
      </c>
      <c r="G26" s="19">
        <v>715789.25</v>
      </c>
      <c r="H26" s="19">
        <v>733257</v>
      </c>
      <c r="I26" s="19">
        <v>805816.3</v>
      </c>
      <c r="J26" s="19">
        <v>858220.94</v>
      </c>
      <c r="K26" s="19">
        <v>535836.75</v>
      </c>
      <c r="L26" s="19">
        <v>734652.6</v>
      </c>
      <c r="M26" s="19">
        <v>759343.1</v>
      </c>
      <c r="N26" s="409">
        <f>825435.39+1800+11679680.32</f>
        <v>12506915.710000001</v>
      </c>
    </row>
    <row r="27" spans="1:14" x14ac:dyDescent="0.25">
      <c r="A27" s="18" t="s">
        <v>18</v>
      </c>
      <c r="B27" s="31">
        <f t="shared" si="5"/>
        <v>2339425.44</v>
      </c>
      <c r="C27" s="19"/>
      <c r="D27" s="19"/>
      <c r="E27" s="19"/>
      <c r="F27" s="19"/>
      <c r="G27" s="19">
        <v>2026684</v>
      </c>
      <c r="H27" s="19"/>
      <c r="I27" s="19">
        <v>11611.2</v>
      </c>
      <c r="J27" s="19"/>
      <c r="K27" s="19">
        <v>92630</v>
      </c>
      <c r="L27" s="19">
        <v>57820</v>
      </c>
      <c r="M27" s="19">
        <v>100730.84</v>
      </c>
      <c r="N27" s="19">
        <v>49949.4</v>
      </c>
    </row>
    <row r="28" spans="1:14" ht="30" x14ac:dyDescent="0.25">
      <c r="A28" s="18" t="s">
        <v>19</v>
      </c>
      <c r="B28" s="31">
        <f t="shared" si="5"/>
        <v>4526729.0600000005</v>
      </c>
      <c r="C28" s="19"/>
      <c r="D28" s="19">
        <v>260392.36</v>
      </c>
      <c r="E28" s="19">
        <v>3450</v>
      </c>
      <c r="F28" s="19">
        <v>173307.09</v>
      </c>
      <c r="G28" s="19">
        <v>1384116.4</v>
      </c>
      <c r="H28" s="19">
        <v>66218</v>
      </c>
      <c r="I28" s="19">
        <v>1386984.98</v>
      </c>
      <c r="J28" s="19">
        <v>250715.07</v>
      </c>
      <c r="K28" s="19">
        <v>286315.2</v>
      </c>
      <c r="L28" s="19">
        <v>251311.47999999998</v>
      </c>
      <c r="M28" s="19">
        <v>403324</v>
      </c>
      <c r="N28" s="19">
        <v>60594.48</v>
      </c>
    </row>
    <row r="29" spans="1:14" x14ac:dyDescent="0.25">
      <c r="A29" s="18" t="s">
        <v>20</v>
      </c>
      <c r="B29" s="31">
        <f t="shared" si="5"/>
        <v>76027840.820000008</v>
      </c>
      <c r="C29" s="19">
        <v>3222356.5799999982</v>
      </c>
      <c r="D29" s="19">
        <v>18531024.68</v>
      </c>
      <c r="E29" s="19">
        <v>6841963.4300000016</v>
      </c>
      <c r="F29" s="19">
        <v>3377282.3499999996</v>
      </c>
      <c r="G29" s="19">
        <v>7045424.75</v>
      </c>
      <c r="H29" s="19">
        <v>4382290.2200000025</v>
      </c>
      <c r="I29" s="19">
        <v>6762569.8999999976</v>
      </c>
      <c r="J29" s="19">
        <v>7422913.339999998</v>
      </c>
      <c r="K29" s="19">
        <v>4899803.1000000006</v>
      </c>
      <c r="L29" s="19">
        <v>2702812.4800000004</v>
      </c>
      <c r="M29" s="19">
        <v>6522347.3399999999</v>
      </c>
      <c r="N29" s="19">
        <v>4317052.6500000013</v>
      </c>
    </row>
    <row r="30" spans="1:14" ht="30" x14ac:dyDescent="0.25">
      <c r="A30" s="18" t="s">
        <v>21</v>
      </c>
      <c r="B30" s="31">
        <f t="shared" si="5"/>
        <v>3148790.62</v>
      </c>
      <c r="C30" s="19"/>
      <c r="D30" s="19">
        <v>780852</v>
      </c>
      <c r="E30" s="19">
        <v>1530</v>
      </c>
      <c r="F30" s="19">
        <v>885409.02</v>
      </c>
      <c r="G30" s="19">
        <v>59400</v>
      </c>
      <c r="H30" s="19">
        <v>182650</v>
      </c>
      <c r="I30" s="19">
        <v>30118</v>
      </c>
      <c r="J30" s="19">
        <v>8090</v>
      </c>
      <c r="K30" s="19">
        <v>515225.06</v>
      </c>
      <c r="L30" s="19">
        <v>7027</v>
      </c>
      <c r="M30" s="19">
        <v>40923.300000000003</v>
      </c>
      <c r="N30" s="19">
        <v>637566.24</v>
      </c>
    </row>
    <row r="31" spans="1:14" ht="30" x14ac:dyDescent="0.25">
      <c r="A31" s="18" t="s">
        <v>22</v>
      </c>
      <c r="B31" s="31">
        <f t="shared" si="5"/>
        <v>304222.05000000005</v>
      </c>
      <c r="C31" s="19"/>
      <c r="D31" s="19"/>
      <c r="E31" s="19">
        <v>5083.1400000000003</v>
      </c>
      <c r="F31" s="19">
        <v>13923.11</v>
      </c>
      <c r="G31" s="19">
        <v>37296.26</v>
      </c>
      <c r="H31" s="19">
        <v>4300</v>
      </c>
      <c r="I31" s="19">
        <v>139202.01</v>
      </c>
      <c r="J31" s="19">
        <v>10750</v>
      </c>
      <c r="K31" s="19">
        <v>12169.86</v>
      </c>
      <c r="L31" s="19">
        <v>12467</v>
      </c>
      <c r="M31" s="19">
        <v>59463.03</v>
      </c>
      <c r="N31" s="19">
        <v>9567.64</v>
      </c>
    </row>
    <row r="32" spans="1:14" ht="30" x14ac:dyDescent="0.25">
      <c r="A32" s="18" t="s">
        <v>23</v>
      </c>
      <c r="B32" s="31">
        <f t="shared" si="5"/>
        <v>94463366.550000012</v>
      </c>
      <c r="C32" s="19">
        <v>2523500.34</v>
      </c>
      <c r="D32" s="19">
        <v>3109580.2</v>
      </c>
      <c r="E32" s="19">
        <v>2355388.35</v>
      </c>
      <c r="F32" s="19">
        <v>186878.5</v>
      </c>
      <c r="G32" s="19">
        <v>3976104.0799999996</v>
      </c>
      <c r="H32" s="19">
        <v>15565416.189999999</v>
      </c>
      <c r="I32" s="19">
        <v>8095147.2100000009</v>
      </c>
      <c r="J32" s="19">
        <v>16899016.440000001</v>
      </c>
      <c r="K32" s="19">
        <v>4366405.03</v>
      </c>
      <c r="L32" s="19">
        <v>25997278.990000002</v>
      </c>
      <c r="M32" s="19">
        <v>5341917.4800000004</v>
      </c>
      <c r="N32" s="19">
        <v>6046733.7400000002</v>
      </c>
    </row>
    <row r="33" spans="1:14" ht="45" x14ac:dyDescent="0.25">
      <c r="A33" s="18" t="s">
        <v>39</v>
      </c>
      <c r="B33" s="31">
        <f>SUM(D33:N33)</f>
        <v>0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</row>
    <row r="34" spans="1:14" x14ac:dyDescent="0.25">
      <c r="A34" s="18" t="s">
        <v>24</v>
      </c>
      <c r="B34" s="31">
        <f>SUM(C34:N34)</f>
        <v>243315713.68600002</v>
      </c>
      <c r="C34" s="19">
        <v>4893365.0600000015</v>
      </c>
      <c r="D34" s="19">
        <v>22840639.900000002</v>
      </c>
      <c r="E34" s="19">
        <v>17519859.010000002</v>
      </c>
      <c r="F34" s="19">
        <v>15285609.959999999</v>
      </c>
      <c r="G34" s="19">
        <v>20400038.760000005</v>
      </c>
      <c r="H34" s="19">
        <v>15454626.210000001</v>
      </c>
      <c r="I34" s="19">
        <v>30237646.149999999</v>
      </c>
      <c r="J34" s="19">
        <v>15803976.660000002</v>
      </c>
      <c r="K34" s="19">
        <v>37695776.57</v>
      </c>
      <c r="L34" s="19">
        <v>17613954.599999998</v>
      </c>
      <c r="M34" s="19">
        <v>29203918.846000008</v>
      </c>
      <c r="N34" s="19">
        <v>16366301.960000008</v>
      </c>
    </row>
    <row r="35" spans="1:14" x14ac:dyDescent="0.25">
      <c r="A35" s="9" t="s">
        <v>25</v>
      </c>
      <c r="B35" s="29">
        <f>SUM(C35:N35)</f>
        <v>639759.24</v>
      </c>
      <c r="C35" s="30">
        <f>SUM(C36:C42)</f>
        <v>0</v>
      </c>
      <c r="D35" s="30">
        <f t="shared" ref="D35:N35" si="6">SUM(D36:D42)</f>
        <v>0</v>
      </c>
      <c r="E35" s="30">
        <f t="shared" si="6"/>
        <v>0</v>
      </c>
      <c r="F35" s="30">
        <f t="shared" si="6"/>
        <v>5000</v>
      </c>
      <c r="G35" s="30">
        <f t="shared" si="6"/>
        <v>0</v>
      </c>
      <c r="H35" s="30">
        <f t="shared" si="6"/>
        <v>267509.24</v>
      </c>
      <c r="I35" s="30">
        <f t="shared" si="6"/>
        <v>0</v>
      </c>
      <c r="J35" s="30">
        <f t="shared" si="6"/>
        <v>172500</v>
      </c>
      <c r="K35" s="30">
        <f t="shared" si="6"/>
        <v>0</v>
      </c>
      <c r="L35" s="30">
        <f t="shared" si="6"/>
        <v>8000</v>
      </c>
      <c r="M35" s="30">
        <f t="shared" si="6"/>
        <v>14250</v>
      </c>
      <c r="N35" s="30">
        <f t="shared" si="6"/>
        <v>172500</v>
      </c>
    </row>
    <row r="36" spans="1:14" ht="30" x14ac:dyDescent="0.25">
      <c r="A36" s="18" t="s">
        <v>26</v>
      </c>
      <c r="B36" s="31">
        <f>SUM(C36:N36)</f>
        <v>639759.24</v>
      </c>
      <c r="C36" s="19"/>
      <c r="D36" s="19"/>
      <c r="E36" s="19"/>
      <c r="F36" s="19">
        <v>5000</v>
      </c>
      <c r="G36" s="19"/>
      <c r="H36" s="19">
        <v>267509.24</v>
      </c>
      <c r="I36" s="19"/>
      <c r="J36" s="19">
        <v>172500</v>
      </c>
      <c r="K36" s="19"/>
      <c r="L36" s="19">
        <v>8000</v>
      </c>
      <c r="M36" s="19">
        <v>14250</v>
      </c>
      <c r="N36" s="19">
        <v>172500</v>
      </c>
    </row>
    <row r="37" spans="1:14" ht="30" x14ac:dyDescent="0.25">
      <c r="A37" s="18" t="s">
        <v>40</v>
      </c>
      <c r="B37" s="31">
        <f t="shared" ref="B37:B42" si="7">SUM(C37:N37)</f>
        <v>0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1:14" ht="30" x14ac:dyDescent="0.25">
      <c r="A38" s="18" t="s">
        <v>41</v>
      </c>
      <c r="B38" s="31">
        <f t="shared" si="7"/>
        <v>0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spans="1:14" ht="30" x14ac:dyDescent="0.25">
      <c r="A39" s="18" t="s">
        <v>42</v>
      </c>
      <c r="B39" s="31">
        <f t="shared" si="7"/>
        <v>0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</row>
    <row r="40" spans="1:14" ht="30" x14ac:dyDescent="0.25">
      <c r="A40" s="18" t="s">
        <v>43</v>
      </c>
      <c r="B40" s="31">
        <f t="shared" si="7"/>
        <v>0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1:14" ht="30" x14ac:dyDescent="0.25">
      <c r="A41" s="18" t="s">
        <v>27</v>
      </c>
      <c r="B41" s="31">
        <f t="shared" si="7"/>
        <v>0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1:14" ht="30" x14ac:dyDescent="0.25">
      <c r="A42" s="18" t="s">
        <v>44</v>
      </c>
      <c r="B42" s="31">
        <f t="shared" si="7"/>
        <v>0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1:14" x14ac:dyDescent="0.25">
      <c r="A43" s="9" t="s">
        <v>45</v>
      </c>
      <c r="B43" s="29">
        <f>SUM(C43:N43)</f>
        <v>0</v>
      </c>
      <c r="C43" s="30">
        <f>SUM(C44:C50)</f>
        <v>0</v>
      </c>
      <c r="D43" s="30">
        <f t="shared" ref="D43:N43" si="8">SUM(D44:D50)</f>
        <v>0</v>
      </c>
      <c r="E43" s="30">
        <f t="shared" si="8"/>
        <v>0</v>
      </c>
      <c r="F43" s="30">
        <f t="shared" si="8"/>
        <v>0</v>
      </c>
      <c r="G43" s="30">
        <f t="shared" si="8"/>
        <v>0</v>
      </c>
      <c r="H43" s="30">
        <f t="shared" si="8"/>
        <v>0</v>
      </c>
      <c r="I43" s="30">
        <f t="shared" si="8"/>
        <v>0</v>
      </c>
      <c r="J43" s="30">
        <f t="shared" si="8"/>
        <v>0</v>
      </c>
      <c r="K43" s="30">
        <f t="shared" si="8"/>
        <v>0</v>
      </c>
      <c r="L43" s="30">
        <f t="shared" si="8"/>
        <v>0</v>
      </c>
      <c r="M43" s="30">
        <f t="shared" si="8"/>
        <v>0</v>
      </c>
      <c r="N43" s="30">
        <f t="shared" si="8"/>
        <v>0</v>
      </c>
    </row>
    <row r="44" spans="1:14" ht="30" x14ac:dyDescent="0.25">
      <c r="A44" s="18" t="s">
        <v>46</v>
      </c>
      <c r="B44" s="31">
        <f t="shared" ref="B44:B49" si="9">SUM(C44:N44)</f>
        <v>0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</row>
    <row r="45" spans="1:14" ht="30" x14ac:dyDescent="0.25">
      <c r="A45" s="18" t="s">
        <v>47</v>
      </c>
      <c r="B45" s="31">
        <f t="shared" si="9"/>
        <v>0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  <row r="46" spans="1:14" ht="30" x14ac:dyDescent="0.25">
      <c r="A46" s="18" t="s">
        <v>48</v>
      </c>
      <c r="B46" s="31">
        <f t="shared" si="9"/>
        <v>0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</row>
    <row r="47" spans="1:14" ht="30" x14ac:dyDescent="0.25">
      <c r="A47" s="18" t="s">
        <v>49</v>
      </c>
      <c r="B47" s="31">
        <f t="shared" si="9"/>
        <v>0</v>
      </c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</row>
    <row r="48" spans="1:14" ht="30" x14ac:dyDescent="0.25">
      <c r="A48" s="18" t="s">
        <v>50</v>
      </c>
      <c r="B48" s="31">
        <f t="shared" si="9"/>
        <v>0</v>
      </c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</row>
    <row r="49" spans="1:14" ht="30" x14ac:dyDescent="0.25">
      <c r="A49" s="18" t="s">
        <v>51</v>
      </c>
      <c r="B49" s="31">
        <f t="shared" si="9"/>
        <v>0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</row>
    <row r="50" spans="1:14" ht="30" x14ac:dyDescent="0.25">
      <c r="A50" s="18" t="s">
        <v>52</v>
      </c>
      <c r="B50" s="31">
        <f>SUM(C50:N50)</f>
        <v>0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</row>
    <row r="51" spans="1:14" ht="30" x14ac:dyDescent="0.25">
      <c r="A51" s="9" t="s">
        <v>28</v>
      </c>
      <c r="B51" s="29">
        <f>SUM(C51:N51)</f>
        <v>17773409.710000001</v>
      </c>
      <c r="C51" s="30">
        <f>SUM(C52:C60)</f>
        <v>1038618.3</v>
      </c>
      <c r="D51" s="30">
        <f t="shared" ref="D51:N51" si="10">SUM(D52:D60)</f>
        <v>3813988.73</v>
      </c>
      <c r="E51" s="30">
        <f t="shared" si="10"/>
        <v>724180.75</v>
      </c>
      <c r="F51" s="30">
        <f t="shared" si="10"/>
        <v>0</v>
      </c>
      <c r="G51" s="30">
        <f t="shared" si="10"/>
        <v>1089242.77</v>
      </c>
      <c r="H51" s="30">
        <f t="shared" si="10"/>
        <v>1545679.1</v>
      </c>
      <c r="I51" s="30">
        <f t="shared" si="10"/>
        <v>3267755.2199999997</v>
      </c>
      <c r="J51" s="30">
        <f t="shared" si="10"/>
        <v>236468.94</v>
      </c>
      <c r="K51" s="30">
        <f t="shared" si="10"/>
        <v>415162.94</v>
      </c>
      <c r="L51" s="30">
        <f t="shared" si="10"/>
        <v>484111.35999999999</v>
      </c>
      <c r="M51" s="30">
        <f t="shared" si="10"/>
        <v>1686274.27</v>
      </c>
      <c r="N51" s="30">
        <f t="shared" si="10"/>
        <v>3471927.33</v>
      </c>
    </row>
    <row r="52" spans="1:14" x14ac:dyDescent="0.25">
      <c r="A52" s="18" t="s">
        <v>29</v>
      </c>
      <c r="B52" s="31">
        <f t="shared" ref="B52:B60" si="11">SUM(C52:N52)</f>
        <v>4707819.3900000006</v>
      </c>
      <c r="C52" s="19">
        <v>1038618.3</v>
      </c>
      <c r="D52" s="19">
        <v>241640</v>
      </c>
      <c r="E52" s="19"/>
      <c r="F52" s="19"/>
      <c r="G52" s="19">
        <v>238176.03999999998</v>
      </c>
      <c r="H52" s="19">
        <v>520252</v>
      </c>
      <c r="I52" s="19">
        <v>675060.32</v>
      </c>
      <c r="J52" s="19">
        <v>85799.99</v>
      </c>
      <c r="K52" s="19">
        <v>415162.94</v>
      </c>
      <c r="L52" s="19">
        <v>3262.36</v>
      </c>
      <c r="M52" s="19">
        <v>857910.24</v>
      </c>
      <c r="N52" s="19">
        <v>631937.19999999995</v>
      </c>
    </row>
    <row r="53" spans="1:14" ht="30" x14ac:dyDescent="0.25">
      <c r="A53" s="18" t="s">
        <v>30</v>
      </c>
      <c r="B53" s="31">
        <f t="shared" si="11"/>
        <v>0</v>
      </c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</row>
    <row r="54" spans="1:14" ht="30" x14ac:dyDescent="0.25">
      <c r="A54" s="18" t="s">
        <v>31</v>
      </c>
      <c r="B54" s="31">
        <f t="shared" si="11"/>
        <v>5674906.2800000003</v>
      </c>
      <c r="C54" s="19"/>
      <c r="D54" s="19">
        <v>350999.99</v>
      </c>
      <c r="E54" s="19"/>
      <c r="F54" s="19"/>
      <c r="G54" s="19"/>
      <c r="H54" s="19">
        <v>1025427.1</v>
      </c>
      <c r="I54" s="19">
        <v>2412694.16</v>
      </c>
      <c r="J54" s="19">
        <v>11820</v>
      </c>
      <c r="K54" s="19"/>
      <c r="L54" s="19">
        <v>825</v>
      </c>
      <c r="M54" s="19"/>
      <c r="N54" s="19">
        <v>1873140.03</v>
      </c>
    </row>
    <row r="55" spans="1:14" ht="30" x14ac:dyDescent="0.25">
      <c r="A55" s="18" t="s">
        <v>32</v>
      </c>
      <c r="B55" s="31">
        <f t="shared" si="11"/>
        <v>0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</row>
    <row r="56" spans="1:14" ht="30" x14ac:dyDescent="0.25">
      <c r="A56" s="18" t="s">
        <v>33</v>
      </c>
      <c r="B56" s="31">
        <f t="shared" si="11"/>
        <v>3871229.35</v>
      </c>
      <c r="C56" s="19"/>
      <c r="D56" s="19">
        <v>2370282.0099999998</v>
      </c>
      <c r="E56" s="19"/>
      <c r="F56" s="19"/>
      <c r="G56" s="19"/>
      <c r="H56" s="19"/>
      <c r="I56" s="19">
        <v>180000.74</v>
      </c>
      <c r="J56" s="19">
        <v>138848.95000000001</v>
      </c>
      <c r="K56" s="19"/>
      <c r="L56" s="19">
        <v>480024</v>
      </c>
      <c r="M56" s="19">
        <v>585223.55000000005</v>
      </c>
      <c r="N56" s="19">
        <v>116850.1</v>
      </c>
    </row>
    <row r="57" spans="1:14" ht="30" x14ac:dyDescent="0.25">
      <c r="A57" s="18" t="s">
        <v>53</v>
      </c>
      <c r="B57" s="31">
        <f>SUM(C57:N57)</f>
        <v>1702133.46</v>
      </c>
      <c r="C57" s="19"/>
      <c r="D57" s="19">
        <v>851066.73</v>
      </c>
      <c r="E57" s="19"/>
      <c r="F57" s="19"/>
      <c r="G57" s="19">
        <v>851066.73</v>
      </c>
      <c r="H57" s="19"/>
      <c r="I57" s="19"/>
      <c r="J57" s="19"/>
      <c r="K57" s="19"/>
      <c r="L57" s="19"/>
      <c r="M57" s="19"/>
      <c r="N57" s="19"/>
    </row>
    <row r="58" spans="1:14" ht="30" x14ac:dyDescent="0.25">
      <c r="A58" s="18" t="s">
        <v>54</v>
      </c>
      <c r="B58" s="31">
        <f t="shared" si="11"/>
        <v>0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</row>
    <row r="59" spans="1:14" x14ac:dyDescent="0.25">
      <c r="A59" s="18" t="s">
        <v>34</v>
      </c>
      <c r="B59" s="31">
        <f t="shared" si="11"/>
        <v>1817321.23</v>
      </c>
      <c r="C59" s="19"/>
      <c r="D59" s="19"/>
      <c r="E59" s="19">
        <v>724180.75</v>
      </c>
      <c r="F59" s="19"/>
      <c r="G59" s="19"/>
      <c r="H59" s="19"/>
      <c r="I59" s="19"/>
      <c r="J59" s="19"/>
      <c r="K59" s="19"/>
      <c r="L59" s="19"/>
      <c r="M59" s="19">
        <v>243140.48000000001</v>
      </c>
      <c r="N59" s="19">
        <v>850000</v>
      </c>
    </row>
    <row r="60" spans="1:14" ht="45" x14ac:dyDescent="0.25">
      <c r="A60" s="18" t="s">
        <v>55</v>
      </c>
      <c r="B60" s="31">
        <f t="shared" si="11"/>
        <v>0</v>
      </c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</row>
    <row r="61" spans="1:14" x14ac:dyDescent="0.25">
      <c r="A61" s="9" t="s">
        <v>56</v>
      </c>
      <c r="B61" s="29">
        <f>SUM(C61:N61)</f>
        <v>0</v>
      </c>
      <c r="C61" s="30">
        <f>SUM(C62:C65)</f>
        <v>0</v>
      </c>
      <c r="D61" s="30">
        <f t="shared" ref="D61:N61" si="12">SUM(D62:D65)</f>
        <v>0</v>
      </c>
      <c r="E61" s="30">
        <f t="shared" si="12"/>
        <v>0</v>
      </c>
      <c r="F61" s="30">
        <f t="shared" si="12"/>
        <v>0</v>
      </c>
      <c r="G61" s="30">
        <f t="shared" si="12"/>
        <v>0</v>
      </c>
      <c r="H61" s="30">
        <f t="shared" si="12"/>
        <v>0</v>
      </c>
      <c r="I61" s="30">
        <f t="shared" si="12"/>
        <v>0</v>
      </c>
      <c r="J61" s="30">
        <f t="shared" si="12"/>
        <v>0</v>
      </c>
      <c r="K61" s="30">
        <f t="shared" si="12"/>
        <v>0</v>
      </c>
      <c r="L61" s="30">
        <f t="shared" si="12"/>
        <v>0</v>
      </c>
      <c r="M61" s="30">
        <f t="shared" si="12"/>
        <v>0</v>
      </c>
      <c r="N61" s="30">
        <f t="shared" si="12"/>
        <v>0</v>
      </c>
    </row>
    <row r="62" spans="1:14" x14ac:dyDescent="0.25">
      <c r="A62" s="18" t="s">
        <v>57</v>
      </c>
      <c r="B62" s="31">
        <f t="shared" ref="B62:B65" si="13">SUM(C62:N62)</f>
        <v>0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</row>
    <row r="63" spans="1:14" x14ac:dyDescent="0.25">
      <c r="A63" s="18" t="s">
        <v>58</v>
      </c>
      <c r="B63" s="31">
        <f t="shared" si="13"/>
        <v>0</v>
      </c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</row>
    <row r="64" spans="1:14" ht="30" x14ac:dyDescent="0.25">
      <c r="A64" s="18" t="s">
        <v>59</v>
      </c>
      <c r="B64" s="31">
        <f t="shared" si="13"/>
        <v>0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</row>
    <row r="65" spans="1:14" ht="45" x14ac:dyDescent="0.25">
      <c r="A65" s="18" t="s">
        <v>60</v>
      </c>
      <c r="B65" s="31">
        <f t="shared" si="13"/>
        <v>0</v>
      </c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</row>
    <row r="66" spans="1:14" ht="30" x14ac:dyDescent="0.25">
      <c r="A66" s="9" t="s">
        <v>61</v>
      </c>
      <c r="B66" s="29">
        <f>SUM(C66:N66)</f>
        <v>0</v>
      </c>
      <c r="C66" s="30">
        <f>SUM(C67:C68)</f>
        <v>0</v>
      </c>
      <c r="D66" s="30">
        <f t="shared" ref="D66:N66" si="14">SUM(D67:D68)</f>
        <v>0</v>
      </c>
      <c r="E66" s="30">
        <f t="shared" si="14"/>
        <v>0</v>
      </c>
      <c r="F66" s="30">
        <f t="shared" si="14"/>
        <v>0</v>
      </c>
      <c r="G66" s="30">
        <f t="shared" si="14"/>
        <v>0</v>
      </c>
      <c r="H66" s="30">
        <f t="shared" si="14"/>
        <v>0</v>
      </c>
      <c r="I66" s="30">
        <f t="shared" si="14"/>
        <v>0</v>
      </c>
      <c r="J66" s="30">
        <f t="shared" si="14"/>
        <v>0</v>
      </c>
      <c r="K66" s="30">
        <f t="shared" si="14"/>
        <v>0</v>
      </c>
      <c r="L66" s="30">
        <f t="shared" si="14"/>
        <v>0</v>
      </c>
      <c r="M66" s="30">
        <f t="shared" si="14"/>
        <v>0</v>
      </c>
      <c r="N66" s="30">
        <f t="shared" si="14"/>
        <v>0</v>
      </c>
    </row>
    <row r="67" spans="1:14" x14ac:dyDescent="0.25">
      <c r="A67" s="18" t="s">
        <v>62</v>
      </c>
      <c r="B67" s="31">
        <f t="shared" ref="B67:B68" si="15">SUM(C67:N67)</f>
        <v>0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</row>
    <row r="68" spans="1:14" ht="30" x14ac:dyDescent="0.25">
      <c r="A68" s="18" t="s">
        <v>63</v>
      </c>
      <c r="B68" s="31">
        <f t="shared" si="15"/>
        <v>0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</row>
    <row r="69" spans="1:14" x14ac:dyDescent="0.25">
      <c r="A69" s="9" t="s">
        <v>64</v>
      </c>
      <c r="B69" s="29">
        <f>SUM(C69:N69)</f>
        <v>0</v>
      </c>
      <c r="C69" s="30">
        <f>SUM(C70:C72)</f>
        <v>0</v>
      </c>
      <c r="D69" s="30">
        <f t="shared" ref="D69:N69" si="16">SUM(D70:D72)</f>
        <v>0</v>
      </c>
      <c r="E69" s="30">
        <f t="shared" si="16"/>
        <v>0</v>
      </c>
      <c r="F69" s="30">
        <f t="shared" si="16"/>
        <v>0</v>
      </c>
      <c r="G69" s="30">
        <f t="shared" si="16"/>
        <v>0</v>
      </c>
      <c r="H69" s="30">
        <f t="shared" si="16"/>
        <v>0</v>
      </c>
      <c r="I69" s="30">
        <f t="shared" si="16"/>
        <v>0</v>
      </c>
      <c r="J69" s="30">
        <f t="shared" si="16"/>
        <v>0</v>
      </c>
      <c r="K69" s="30">
        <f t="shared" si="16"/>
        <v>0</v>
      </c>
      <c r="L69" s="30">
        <f t="shared" si="16"/>
        <v>0</v>
      </c>
      <c r="M69" s="30">
        <f t="shared" si="16"/>
        <v>0</v>
      </c>
      <c r="N69" s="30">
        <f t="shared" si="16"/>
        <v>0</v>
      </c>
    </row>
    <row r="70" spans="1:14" ht="30" x14ac:dyDescent="0.25">
      <c r="A70" s="18" t="s">
        <v>65</v>
      </c>
      <c r="B70" s="31">
        <f t="shared" ref="B70:B72" si="17">SUM(C70:N70)</f>
        <v>0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</row>
    <row r="71" spans="1:14" ht="30" x14ac:dyDescent="0.25">
      <c r="A71" s="18" t="s">
        <v>66</v>
      </c>
      <c r="B71" s="31">
        <f t="shared" si="17"/>
        <v>0</v>
      </c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</row>
    <row r="72" spans="1:14" ht="30" x14ac:dyDescent="0.25">
      <c r="A72" s="18" t="s">
        <v>67</v>
      </c>
      <c r="B72" s="31">
        <f t="shared" si="17"/>
        <v>0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</row>
    <row r="73" spans="1:14" x14ac:dyDescent="0.25">
      <c r="A73" s="23" t="s">
        <v>35</v>
      </c>
      <c r="B73" s="27">
        <f>B9+B15+B25+B35+B43+B51+B61+B66+B69</f>
        <v>738827164.04699993</v>
      </c>
      <c r="C73" s="27">
        <f>C9+C15+C25+C35+C43+C51+C61+C66+C69</f>
        <v>20066465.900000002</v>
      </c>
      <c r="D73" s="27">
        <f t="shared" ref="D73:N73" si="18">D9+D15+D25+D35+D43+D51+D61+D66+D69</f>
        <v>57515720.740000002</v>
      </c>
      <c r="E73" s="27">
        <f t="shared" si="18"/>
        <v>73486693.480000004</v>
      </c>
      <c r="F73" s="27">
        <f t="shared" si="18"/>
        <v>38265270.259999998</v>
      </c>
      <c r="G73" s="27">
        <f t="shared" si="18"/>
        <v>43761446.030000009</v>
      </c>
      <c r="H73" s="27">
        <f t="shared" si="18"/>
        <v>53545346.950000003</v>
      </c>
      <c r="I73" s="27">
        <f t="shared" si="18"/>
        <v>83878240.25999999</v>
      </c>
      <c r="J73" s="27">
        <f t="shared" si="18"/>
        <v>53456714.511</v>
      </c>
      <c r="K73" s="27">
        <f t="shared" si="18"/>
        <v>74232454.739999995</v>
      </c>
      <c r="L73" s="27">
        <f t="shared" si="18"/>
        <v>95314425.000000015</v>
      </c>
      <c r="M73" s="27">
        <f t="shared" si="18"/>
        <v>64281316.906000011</v>
      </c>
      <c r="N73" s="27">
        <f t="shared" si="18"/>
        <v>81023069.269999996</v>
      </c>
    </row>
    <row r="74" spans="1:14" x14ac:dyDescent="0.25">
      <c r="A74" s="14" t="s">
        <v>68</v>
      </c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</row>
    <row r="75" spans="1:14" ht="30" x14ac:dyDescent="0.25">
      <c r="A75" s="14" t="s">
        <v>69</v>
      </c>
      <c r="B75" s="20"/>
      <c r="C75" s="22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</row>
    <row r="76" spans="1:14" ht="30" x14ac:dyDescent="0.25">
      <c r="A76" s="18" t="s">
        <v>70</v>
      </c>
      <c r="B76" s="20"/>
      <c r="C76" s="21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</row>
    <row r="77" spans="1:14" ht="30" x14ac:dyDescent="0.25">
      <c r="A77" s="18" t="s">
        <v>71</v>
      </c>
      <c r="B77" s="20"/>
      <c r="C77" s="21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</row>
    <row r="78" spans="1:14" x14ac:dyDescent="0.25">
      <c r="A78" s="14" t="s">
        <v>72</v>
      </c>
      <c r="B78" s="20"/>
      <c r="C78" s="22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</row>
    <row r="79" spans="1:14" ht="30" x14ac:dyDescent="0.25">
      <c r="A79" s="18" t="s">
        <v>73</v>
      </c>
      <c r="B79" s="20"/>
      <c r="C79" s="21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</row>
    <row r="80" spans="1:14" ht="30" x14ac:dyDescent="0.25">
      <c r="A80" s="18" t="s">
        <v>74</v>
      </c>
      <c r="B80" s="20"/>
      <c r="C80" s="21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</row>
    <row r="81" spans="1:14" ht="30" x14ac:dyDescent="0.25">
      <c r="A81" s="14" t="s">
        <v>75</v>
      </c>
      <c r="B81" s="20"/>
      <c r="C81" s="22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</row>
    <row r="82" spans="1:14" ht="30" x14ac:dyDescent="0.25">
      <c r="A82" s="18" t="s">
        <v>76</v>
      </c>
      <c r="B82" s="20"/>
      <c r="C82" s="21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</row>
    <row r="83" spans="1:14" x14ac:dyDescent="0.25">
      <c r="A83" s="23" t="s">
        <v>77</v>
      </c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</row>
    <row r="84" spans="1:14" x14ac:dyDescent="0.2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</row>
    <row r="85" spans="1:14" ht="31.5" x14ac:dyDescent="0.25">
      <c r="A85" s="25" t="s">
        <v>78</v>
      </c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</row>
    <row r="86" spans="1:14" x14ac:dyDescent="0.25">
      <c r="A86" t="s">
        <v>93</v>
      </c>
    </row>
    <row r="87" spans="1:14" x14ac:dyDescent="0.25">
      <c r="A87" t="s">
        <v>91</v>
      </c>
    </row>
    <row r="88" spans="1:14" x14ac:dyDescent="0.25">
      <c r="A88" t="s">
        <v>92</v>
      </c>
    </row>
    <row r="89" spans="1:14" x14ac:dyDescent="0.25">
      <c r="E89" s="140">
        <f>'F100'!C15</f>
        <v>0</v>
      </c>
      <c r="J89" t="s">
        <v>533</v>
      </c>
    </row>
    <row r="90" spans="1:14" x14ac:dyDescent="0.25">
      <c r="E90" s="55">
        <f>E73+D73+C73</f>
        <v>151068880.12</v>
      </c>
      <c r="J90" s="332" t="s">
        <v>533</v>
      </c>
    </row>
    <row r="92" spans="1:14" x14ac:dyDescent="0.25">
      <c r="A92" s="198" t="s">
        <v>567</v>
      </c>
      <c r="B92" s="61"/>
      <c r="C92" s="199" t="s">
        <v>568</v>
      </c>
      <c r="D92" s="199"/>
    </row>
    <row r="93" spans="1:14" x14ac:dyDescent="0.25">
      <c r="A93" s="200" t="s">
        <v>569</v>
      </c>
      <c r="B93" s="61"/>
      <c r="C93" s="200" t="s">
        <v>570</v>
      </c>
      <c r="D93" s="61"/>
    </row>
    <row r="94" spans="1:14" x14ac:dyDescent="0.25">
      <c r="A94" s="61"/>
      <c r="B94" s="61"/>
      <c r="C94" s="61"/>
      <c r="D94" s="61"/>
    </row>
  </sheetData>
  <mergeCells count="5">
    <mergeCell ref="A1:N1"/>
    <mergeCell ref="A2:N2"/>
    <mergeCell ref="A3:N3"/>
    <mergeCell ref="A4:N4"/>
    <mergeCell ref="A5:N5"/>
  </mergeCells>
  <pageMargins left="0.7" right="0.7" top="0.75" bottom="0.75" header="0.3" footer="0.3"/>
  <pageSetup scale="70" orientation="landscape" horizontalDpi="300" verticalDpi="300" r:id="rId1"/>
  <ignoredErrors>
    <ignoredError sqref="B33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opLeftCell="A65" workbookViewId="0">
      <selection activeCell="D72" sqref="D72"/>
    </sheetView>
  </sheetViews>
  <sheetFormatPr baseColWidth="10" defaultRowHeight="15" x14ac:dyDescent="0.25"/>
  <cols>
    <col min="1" max="1" width="15.140625" customWidth="1"/>
    <col min="2" max="2" width="89.42578125" customWidth="1"/>
    <col min="3" max="3" width="23.28515625" customWidth="1"/>
    <col min="4" max="4" width="25.7109375" customWidth="1"/>
    <col min="5" max="5" width="26.85546875" customWidth="1"/>
    <col min="6" max="6" width="15.140625" bestFit="1" customWidth="1"/>
    <col min="7" max="7" width="17.42578125" bestFit="1" customWidth="1"/>
  </cols>
  <sheetData>
    <row r="1" spans="1:6" ht="15.75" x14ac:dyDescent="0.25">
      <c r="A1" s="43"/>
      <c r="B1" s="43"/>
      <c r="C1" s="43"/>
      <c r="D1" s="43"/>
    </row>
    <row r="2" spans="1:6" ht="20.25" x14ac:dyDescent="0.3">
      <c r="A2" s="224"/>
      <c r="B2" s="225" t="s">
        <v>102</v>
      </c>
      <c r="C2" s="263"/>
      <c r="D2" s="263"/>
    </row>
    <row r="3" spans="1:6" ht="15.75" x14ac:dyDescent="0.25">
      <c r="A3" s="224"/>
      <c r="B3" s="226" t="s">
        <v>600</v>
      </c>
      <c r="C3" s="263"/>
      <c r="D3" s="263"/>
    </row>
    <row r="4" spans="1:6" ht="15.75" x14ac:dyDescent="0.25">
      <c r="A4" s="224"/>
      <c r="B4" s="264" t="s">
        <v>757</v>
      </c>
      <c r="C4" s="263"/>
      <c r="D4" s="263"/>
    </row>
    <row r="5" spans="1:6" ht="15.75" x14ac:dyDescent="0.25">
      <c r="A5" s="224"/>
      <c r="B5" s="263" t="s">
        <v>601</v>
      </c>
      <c r="C5" s="263"/>
      <c r="D5" s="263"/>
      <c r="E5" s="336"/>
    </row>
    <row r="6" spans="1:6" ht="15.75" x14ac:dyDescent="0.25">
      <c r="A6" s="224"/>
      <c r="B6" s="224"/>
      <c r="C6" s="224"/>
      <c r="D6" s="224"/>
    </row>
    <row r="7" spans="1:6" ht="15.75" x14ac:dyDescent="0.25">
      <c r="A7" s="227" t="s">
        <v>602</v>
      </c>
      <c r="B7" s="227" t="s">
        <v>603</v>
      </c>
      <c r="C7" s="228">
        <v>2020</v>
      </c>
      <c r="D7" s="227">
        <v>2021</v>
      </c>
      <c r="E7" s="337" t="s">
        <v>758</v>
      </c>
    </row>
    <row r="8" spans="1:6" ht="18.75" x14ac:dyDescent="0.3">
      <c r="A8" s="338">
        <v>221301</v>
      </c>
      <c r="B8" s="339" t="s">
        <v>441</v>
      </c>
      <c r="C8" s="340">
        <v>0</v>
      </c>
      <c r="D8" s="341">
        <v>0</v>
      </c>
      <c r="E8" s="342">
        <v>0</v>
      </c>
      <c r="F8" s="343">
        <v>0</v>
      </c>
    </row>
    <row r="9" spans="1:6" ht="18.75" x14ac:dyDescent="0.3">
      <c r="A9" s="338">
        <v>221501</v>
      </c>
      <c r="B9" s="339" t="s">
        <v>604</v>
      </c>
      <c r="C9" s="340">
        <v>0</v>
      </c>
      <c r="D9" s="341">
        <v>0</v>
      </c>
      <c r="E9" s="342">
        <f t="shared" ref="E9:E69" si="0">C9+D9</f>
        <v>0</v>
      </c>
      <c r="F9" s="343"/>
    </row>
    <row r="10" spans="1:6" ht="18.75" x14ac:dyDescent="0.3">
      <c r="A10" s="344"/>
      <c r="B10" s="339" t="s">
        <v>435</v>
      </c>
      <c r="C10" s="340">
        <v>0</v>
      </c>
      <c r="D10" s="341"/>
      <c r="E10" s="342">
        <v>0</v>
      </c>
      <c r="F10" s="343">
        <v>0</v>
      </c>
    </row>
    <row r="11" spans="1:6" ht="18.75" x14ac:dyDescent="0.3">
      <c r="A11" s="344">
        <v>221801</v>
      </c>
      <c r="B11" s="339" t="s">
        <v>434</v>
      </c>
      <c r="C11" s="340">
        <v>0</v>
      </c>
      <c r="D11" s="341">
        <f>'[4]MODELO DEUDA'!F10</f>
        <v>223500</v>
      </c>
      <c r="E11" s="342">
        <f t="shared" si="0"/>
        <v>223500</v>
      </c>
      <c r="F11" s="343"/>
    </row>
    <row r="12" spans="1:6" ht="18.75" x14ac:dyDescent="0.3">
      <c r="A12" s="344">
        <v>222201</v>
      </c>
      <c r="B12" s="345" t="s">
        <v>759</v>
      </c>
      <c r="C12" s="340">
        <v>0</v>
      </c>
      <c r="D12" s="341">
        <v>0</v>
      </c>
      <c r="E12" s="342">
        <f t="shared" si="0"/>
        <v>0</v>
      </c>
      <c r="F12" s="343"/>
    </row>
    <row r="13" spans="1:6" ht="18.75" x14ac:dyDescent="0.3">
      <c r="A13" s="344"/>
      <c r="B13" s="345" t="s">
        <v>425</v>
      </c>
      <c r="C13" s="340">
        <v>0</v>
      </c>
      <c r="D13" s="341">
        <v>0</v>
      </c>
      <c r="E13" s="342">
        <f t="shared" si="0"/>
        <v>0</v>
      </c>
      <c r="F13" s="343"/>
    </row>
    <row r="14" spans="1:6" ht="18.75" x14ac:dyDescent="0.3">
      <c r="A14" s="344">
        <v>225302</v>
      </c>
      <c r="B14" s="345" t="s">
        <v>760</v>
      </c>
      <c r="C14" s="340">
        <v>0</v>
      </c>
      <c r="D14" s="341">
        <v>0</v>
      </c>
      <c r="E14" s="342">
        <f t="shared" si="0"/>
        <v>0</v>
      </c>
      <c r="F14" s="346"/>
    </row>
    <row r="15" spans="1:6" ht="18.75" x14ac:dyDescent="0.3">
      <c r="A15" s="344">
        <v>225401</v>
      </c>
      <c r="B15" s="345" t="s">
        <v>761</v>
      </c>
      <c r="C15" s="340">
        <v>0</v>
      </c>
      <c r="D15" s="341">
        <f>'[4]MODELO DEUDA'!F68</f>
        <v>56000</v>
      </c>
      <c r="E15" s="342">
        <f>C15+D15</f>
        <v>56000</v>
      </c>
      <c r="F15" s="343"/>
    </row>
    <row r="16" spans="1:6" ht="18.75" x14ac:dyDescent="0.3">
      <c r="A16" s="344">
        <v>225801</v>
      </c>
      <c r="B16" s="345" t="s">
        <v>762</v>
      </c>
      <c r="C16" s="340">
        <v>0</v>
      </c>
      <c r="D16" s="341">
        <f>'[4]MODELO DEUDA'!F32</f>
        <v>200600</v>
      </c>
      <c r="E16" s="342">
        <f>C16+D16</f>
        <v>200600</v>
      </c>
      <c r="F16" s="343"/>
    </row>
    <row r="17" spans="1:6" ht="18.75" x14ac:dyDescent="0.3">
      <c r="A17" s="344">
        <v>226201</v>
      </c>
      <c r="B17" s="345" t="s">
        <v>639</v>
      </c>
      <c r="C17" s="340">
        <v>0</v>
      </c>
      <c r="D17" s="341">
        <v>0</v>
      </c>
      <c r="E17" s="342">
        <f t="shared" si="0"/>
        <v>0</v>
      </c>
      <c r="F17" s="343"/>
    </row>
    <row r="18" spans="1:6" ht="18.75" x14ac:dyDescent="0.3">
      <c r="A18" s="344">
        <v>227101</v>
      </c>
      <c r="B18" s="345" t="s">
        <v>763</v>
      </c>
      <c r="C18" s="340">
        <f>'[4]MODELO DEUDA'!E37</f>
        <v>99733.37</v>
      </c>
      <c r="D18" s="341">
        <f>'[4]MODELO DEUDA'!F37</f>
        <v>427295.7</v>
      </c>
      <c r="E18" s="342">
        <f t="shared" si="0"/>
        <v>527029.07000000007</v>
      </c>
      <c r="F18" s="343"/>
    </row>
    <row r="19" spans="1:6" ht="18.75" x14ac:dyDescent="0.3">
      <c r="A19" s="344"/>
      <c r="B19" s="345" t="s">
        <v>400</v>
      </c>
      <c r="C19" s="340">
        <v>0</v>
      </c>
      <c r="D19" s="341">
        <v>0</v>
      </c>
      <c r="E19" s="342">
        <f t="shared" si="0"/>
        <v>0</v>
      </c>
      <c r="F19" s="343"/>
    </row>
    <row r="20" spans="1:6" ht="18.75" x14ac:dyDescent="0.3">
      <c r="A20" s="344"/>
      <c r="B20" s="345" t="s">
        <v>398</v>
      </c>
      <c r="C20" s="340">
        <v>0</v>
      </c>
      <c r="D20" s="341">
        <v>0</v>
      </c>
      <c r="E20" s="342">
        <f t="shared" si="0"/>
        <v>0</v>
      </c>
      <c r="F20" s="343"/>
    </row>
    <row r="21" spans="1:6" ht="18.75" x14ac:dyDescent="0.3">
      <c r="A21" s="344">
        <v>227201</v>
      </c>
      <c r="B21" s="345" t="s">
        <v>764</v>
      </c>
      <c r="C21" s="340">
        <v>0</v>
      </c>
      <c r="D21" s="341">
        <v>0</v>
      </c>
      <c r="E21" s="342">
        <f t="shared" si="0"/>
        <v>0</v>
      </c>
      <c r="F21" s="343"/>
    </row>
    <row r="22" spans="1:6" ht="18.75" x14ac:dyDescent="0.3">
      <c r="A22" s="344">
        <v>227202</v>
      </c>
      <c r="B22" s="345" t="s">
        <v>391</v>
      </c>
      <c r="C22" s="340">
        <v>0</v>
      </c>
      <c r="D22" s="341">
        <v>0</v>
      </c>
      <c r="E22" s="342">
        <f t="shared" si="0"/>
        <v>0</v>
      </c>
      <c r="F22" s="343"/>
    </row>
    <row r="23" spans="1:6" ht="18.75" x14ac:dyDescent="0.3">
      <c r="A23" s="344">
        <v>227204</v>
      </c>
      <c r="B23" s="345" t="s">
        <v>765</v>
      </c>
      <c r="C23" s="340">
        <f>'[4]MODELO DEUDA'!E26</f>
        <v>265500</v>
      </c>
      <c r="D23" s="341">
        <f>'[4]MODELO DEUDA'!F13+'[4]MODELO DEUDA'!F63</f>
        <v>341289.52</v>
      </c>
      <c r="E23" s="342">
        <f t="shared" si="0"/>
        <v>606789.52</v>
      </c>
      <c r="F23" s="343"/>
    </row>
    <row r="24" spans="1:6" ht="18.75" x14ac:dyDescent="0.3">
      <c r="A24" s="344">
        <v>227206</v>
      </c>
      <c r="B24" s="345" t="s">
        <v>387</v>
      </c>
      <c r="C24" s="340">
        <v>0</v>
      </c>
      <c r="D24" s="341">
        <f>'[4]MODELO DEUDA'!F19+'[4]MODELO DEUDA'!F41</f>
        <v>87473.4</v>
      </c>
      <c r="E24" s="342">
        <f t="shared" si="0"/>
        <v>87473.4</v>
      </c>
      <c r="F24" s="343"/>
    </row>
    <row r="25" spans="1:6" ht="18.75" x14ac:dyDescent="0.3">
      <c r="A25" s="344">
        <v>227207</v>
      </c>
      <c r="B25" s="345" t="s">
        <v>605</v>
      </c>
      <c r="C25" s="340">
        <v>0</v>
      </c>
      <c r="D25" s="341">
        <v>0</v>
      </c>
      <c r="E25" s="342">
        <f t="shared" si="0"/>
        <v>0</v>
      </c>
      <c r="F25" s="343"/>
    </row>
    <row r="26" spans="1:6" ht="18.75" x14ac:dyDescent="0.3">
      <c r="A26" s="344">
        <v>227208</v>
      </c>
      <c r="B26" s="345" t="s">
        <v>606</v>
      </c>
      <c r="C26" s="340">
        <v>0</v>
      </c>
      <c r="D26" s="341">
        <v>0</v>
      </c>
      <c r="E26" s="342">
        <f t="shared" si="0"/>
        <v>0</v>
      </c>
      <c r="F26" s="343"/>
    </row>
    <row r="27" spans="1:6" ht="18.75" x14ac:dyDescent="0.3">
      <c r="A27" s="344">
        <v>228301</v>
      </c>
      <c r="B27" s="345" t="s">
        <v>377</v>
      </c>
      <c r="C27" s="340">
        <v>0</v>
      </c>
      <c r="D27" s="341">
        <f>'[4]MODELO DEUDA'!F17+'[4]MODELO DEUDA'!F60</f>
        <v>729155</v>
      </c>
      <c r="E27" s="342">
        <f t="shared" si="0"/>
        <v>729155</v>
      </c>
      <c r="F27" s="343"/>
    </row>
    <row r="28" spans="1:6" ht="18.75" x14ac:dyDescent="0.3">
      <c r="A28" s="344"/>
      <c r="B28" s="345" t="s">
        <v>766</v>
      </c>
      <c r="C28" s="340">
        <v>0</v>
      </c>
      <c r="D28" s="341">
        <v>0</v>
      </c>
      <c r="E28" s="342">
        <f t="shared" si="0"/>
        <v>0</v>
      </c>
      <c r="F28" s="343"/>
    </row>
    <row r="29" spans="1:6" ht="18.75" x14ac:dyDescent="0.3">
      <c r="A29" s="344">
        <v>228501</v>
      </c>
      <c r="B29" s="345" t="s">
        <v>374</v>
      </c>
      <c r="C29" s="340">
        <v>0</v>
      </c>
      <c r="D29" s="341">
        <v>0</v>
      </c>
      <c r="E29" s="342">
        <f t="shared" si="0"/>
        <v>0</v>
      </c>
      <c r="F29" s="343"/>
    </row>
    <row r="30" spans="1:6" ht="18.75" x14ac:dyDescent="0.3">
      <c r="A30" s="344"/>
      <c r="B30" s="345" t="s">
        <v>373</v>
      </c>
      <c r="C30" s="340">
        <v>0</v>
      </c>
      <c r="D30" s="341">
        <v>0</v>
      </c>
      <c r="E30" s="342">
        <f t="shared" si="0"/>
        <v>0</v>
      </c>
      <c r="F30" s="343"/>
    </row>
    <row r="31" spans="1:6" ht="18.75" x14ac:dyDescent="0.3">
      <c r="A31" s="344">
        <v>228503</v>
      </c>
      <c r="B31" s="345" t="s">
        <v>767</v>
      </c>
      <c r="C31" s="340">
        <v>0</v>
      </c>
      <c r="D31" s="341">
        <v>0</v>
      </c>
      <c r="E31" s="342">
        <f t="shared" si="0"/>
        <v>0</v>
      </c>
      <c r="F31" s="343"/>
    </row>
    <row r="32" spans="1:6" ht="18.75" x14ac:dyDescent="0.3">
      <c r="A32" s="344">
        <v>228702</v>
      </c>
      <c r="B32" s="345" t="s">
        <v>768</v>
      </c>
      <c r="C32" s="340">
        <v>0</v>
      </c>
      <c r="D32" s="341">
        <f>'[4]MODELO DEUDA'!F23</f>
        <v>35260</v>
      </c>
      <c r="E32" s="342">
        <f t="shared" si="0"/>
        <v>35260</v>
      </c>
      <c r="F32" s="343"/>
    </row>
    <row r="33" spans="1:6" ht="18.75" x14ac:dyDescent="0.3">
      <c r="A33" s="344"/>
      <c r="B33" s="345" t="s">
        <v>360</v>
      </c>
      <c r="C33" s="340">
        <v>0</v>
      </c>
      <c r="D33" s="341">
        <v>0</v>
      </c>
      <c r="E33" s="342">
        <f t="shared" si="0"/>
        <v>0</v>
      </c>
      <c r="F33" s="343"/>
    </row>
    <row r="34" spans="1:6" ht="18.75" x14ac:dyDescent="0.3">
      <c r="A34" s="344">
        <v>231101</v>
      </c>
      <c r="B34" s="345" t="s">
        <v>350</v>
      </c>
      <c r="C34" s="340">
        <f>'[4]MODELO DEUDA'!E65</f>
        <v>543443.27</v>
      </c>
      <c r="D34" s="341">
        <v>0</v>
      </c>
      <c r="E34" s="342">
        <f t="shared" si="0"/>
        <v>543443.27</v>
      </c>
      <c r="F34" s="343"/>
    </row>
    <row r="35" spans="1:6" ht="18.75" x14ac:dyDescent="0.3">
      <c r="A35" s="347"/>
      <c r="B35" s="345" t="s">
        <v>341</v>
      </c>
      <c r="C35" s="340">
        <v>0</v>
      </c>
      <c r="D35" s="341">
        <v>0</v>
      </c>
      <c r="E35" s="342">
        <f t="shared" si="0"/>
        <v>0</v>
      </c>
      <c r="F35" s="343"/>
    </row>
    <row r="36" spans="1:6" ht="18.75" x14ac:dyDescent="0.3">
      <c r="A36" s="347">
        <v>232201</v>
      </c>
      <c r="B36" s="345" t="s">
        <v>769</v>
      </c>
      <c r="C36" s="340">
        <v>0</v>
      </c>
      <c r="D36" s="341">
        <v>0</v>
      </c>
      <c r="E36" s="342">
        <f t="shared" si="0"/>
        <v>0</v>
      </c>
      <c r="F36" s="343"/>
    </row>
    <row r="37" spans="1:6" ht="18.75" x14ac:dyDescent="0.3">
      <c r="A37" s="347">
        <v>233101</v>
      </c>
      <c r="B37" s="345" t="s">
        <v>337</v>
      </c>
      <c r="C37" s="340">
        <v>0</v>
      </c>
      <c r="D37" s="341">
        <v>0</v>
      </c>
      <c r="E37" s="342">
        <f t="shared" si="0"/>
        <v>0</v>
      </c>
      <c r="F37" s="343"/>
    </row>
    <row r="38" spans="1:6" ht="18.75" x14ac:dyDescent="0.3">
      <c r="A38" s="347">
        <v>233201</v>
      </c>
      <c r="B38" s="345" t="s">
        <v>336</v>
      </c>
      <c r="C38" s="340">
        <v>0</v>
      </c>
      <c r="D38" s="341">
        <v>0</v>
      </c>
      <c r="E38" s="342">
        <f t="shared" si="0"/>
        <v>0</v>
      </c>
      <c r="F38" s="343"/>
    </row>
    <row r="39" spans="1:6" ht="18.75" x14ac:dyDescent="0.3">
      <c r="A39" s="347">
        <v>233301</v>
      </c>
      <c r="B39" s="345" t="s">
        <v>335</v>
      </c>
      <c r="C39" s="340">
        <v>0</v>
      </c>
      <c r="D39" s="341">
        <v>0</v>
      </c>
      <c r="E39" s="342">
        <f t="shared" si="0"/>
        <v>0</v>
      </c>
      <c r="F39" s="343"/>
    </row>
    <row r="40" spans="1:6" ht="18.75" x14ac:dyDescent="0.3">
      <c r="A40" s="347"/>
      <c r="B40" s="345" t="s">
        <v>334</v>
      </c>
      <c r="C40" s="340">
        <v>0</v>
      </c>
      <c r="D40" s="341">
        <v>0</v>
      </c>
      <c r="E40" s="342">
        <f t="shared" si="0"/>
        <v>0</v>
      </c>
      <c r="F40" s="343"/>
    </row>
    <row r="41" spans="1:6" ht="18.75" x14ac:dyDescent="0.3">
      <c r="A41" s="347">
        <v>234101</v>
      </c>
      <c r="B41" s="345" t="s">
        <v>330</v>
      </c>
      <c r="C41" s="340">
        <f>'[4]MODELO DEUDA'!E11+'[4]MODELO DEUDA'!E18+'[4]MODELO DEUDA'!E42</f>
        <v>4767623.0999999996</v>
      </c>
      <c r="D41" s="341">
        <f>'[4]MODELO DEUDA'!F11+'[4]MODELO DEUDA'!F28+'[4]MODELO DEUDA'!F30+'[4]MODELO DEUDA'!F27+'[4]MODELO DEUDA'!F34+'[4]MODELO DEUDA'!F38+'[4]MODELO DEUDA'!F46+'[4]MODELO DEUDA'!F52+'[4]MODELO DEUDA'!F51</f>
        <v>6722749.7999999998</v>
      </c>
      <c r="E41" s="342">
        <f t="shared" si="0"/>
        <v>11490372.899999999</v>
      </c>
      <c r="F41" s="343"/>
    </row>
    <row r="42" spans="1:6" ht="18.75" x14ac:dyDescent="0.3">
      <c r="A42" s="347">
        <v>235501</v>
      </c>
      <c r="B42" s="345" t="s">
        <v>323</v>
      </c>
      <c r="C42" s="340">
        <v>0</v>
      </c>
      <c r="D42" s="341">
        <f>'[4]MODELO DEUDA'!F67</f>
        <v>88264</v>
      </c>
      <c r="E42" s="342">
        <f t="shared" si="0"/>
        <v>88264</v>
      </c>
      <c r="F42" s="343"/>
    </row>
    <row r="43" spans="1:6" ht="18.75" x14ac:dyDescent="0.3">
      <c r="A43" s="347"/>
      <c r="B43" s="345" t="s">
        <v>320</v>
      </c>
      <c r="C43" s="340">
        <v>0</v>
      </c>
      <c r="D43" s="341">
        <v>0</v>
      </c>
      <c r="E43" s="342">
        <f t="shared" si="0"/>
        <v>0</v>
      </c>
      <c r="F43" s="343"/>
    </row>
    <row r="44" spans="1:6" ht="18.75" x14ac:dyDescent="0.3">
      <c r="A44" s="347">
        <v>236304</v>
      </c>
      <c r="B44" s="345" t="s">
        <v>310</v>
      </c>
      <c r="C44" s="340">
        <v>0</v>
      </c>
      <c r="D44" s="341">
        <v>0</v>
      </c>
      <c r="E44" s="342">
        <f t="shared" si="0"/>
        <v>0</v>
      </c>
      <c r="F44" s="343"/>
    </row>
    <row r="45" spans="1:6" ht="18.75" x14ac:dyDescent="0.3">
      <c r="A45" s="347">
        <v>237102</v>
      </c>
      <c r="B45" s="345" t="s">
        <v>295</v>
      </c>
      <c r="C45" s="340">
        <v>0</v>
      </c>
      <c r="D45" s="341">
        <f>'[4]MODELO DEUDA'!F21</f>
        <v>496500</v>
      </c>
      <c r="E45" s="342">
        <f t="shared" si="0"/>
        <v>496500</v>
      </c>
      <c r="F45" s="343"/>
    </row>
    <row r="46" spans="1:6" ht="18.75" x14ac:dyDescent="0.3">
      <c r="A46" s="347">
        <v>237104</v>
      </c>
      <c r="B46" s="345" t="s">
        <v>293</v>
      </c>
      <c r="C46" s="340">
        <v>0</v>
      </c>
      <c r="D46" s="341">
        <f>'[4]MODELO DEUDA'!F69</f>
        <v>226642.81</v>
      </c>
      <c r="E46" s="342">
        <f t="shared" si="0"/>
        <v>226642.81</v>
      </c>
      <c r="F46" s="343"/>
    </row>
    <row r="47" spans="1:6" ht="18.75" x14ac:dyDescent="0.3">
      <c r="A47" s="347">
        <v>237203</v>
      </c>
      <c r="B47" s="345" t="s">
        <v>285</v>
      </c>
      <c r="C47" s="340">
        <v>0</v>
      </c>
      <c r="D47" s="341">
        <f>'[4]MODELO DEUDA'!F24+'[4]MODELO DEUDA'!F50</f>
        <v>1735634.8699999999</v>
      </c>
      <c r="E47" s="342">
        <f t="shared" si="0"/>
        <v>1735634.8699999999</v>
      </c>
      <c r="F47" s="343"/>
    </row>
    <row r="48" spans="1:6" ht="18.75" x14ac:dyDescent="0.3">
      <c r="A48" s="347"/>
      <c r="B48" s="345" t="s">
        <v>283</v>
      </c>
      <c r="C48" s="340">
        <v>0</v>
      </c>
      <c r="D48" s="341">
        <v>0</v>
      </c>
      <c r="E48" s="342">
        <f t="shared" si="0"/>
        <v>0</v>
      </c>
      <c r="F48" s="343"/>
    </row>
    <row r="49" spans="1:7" ht="18.75" x14ac:dyDescent="0.3">
      <c r="A49" s="347"/>
      <c r="B49" s="345" t="s">
        <v>607</v>
      </c>
      <c r="C49" s="340">
        <v>0</v>
      </c>
      <c r="D49" s="341">
        <v>0</v>
      </c>
      <c r="E49" s="342">
        <f t="shared" si="0"/>
        <v>0</v>
      </c>
      <c r="F49" s="343"/>
    </row>
    <row r="50" spans="1:7" ht="18.75" x14ac:dyDescent="0.3">
      <c r="A50" s="347">
        <v>2237209</v>
      </c>
      <c r="B50" s="345" t="s">
        <v>280</v>
      </c>
      <c r="C50" s="340">
        <v>0</v>
      </c>
      <c r="D50" s="341">
        <v>0</v>
      </c>
      <c r="E50" s="342">
        <f t="shared" si="0"/>
        <v>0</v>
      </c>
      <c r="F50" s="343"/>
    </row>
    <row r="51" spans="1:7" ht="18.75" x14ac:dyDescent="0.3">
      <c r="A51" s="347">
        <v>239101</v>
      </c>
      <c r="B51" s="345" t="s">
        <v>275</v>
      </c>
      <c r="C51" s="340">
        <v>0</v>
      </c>
      <c r="D51" s="341">
        <v>0</v>
      </c>
      <c r="E51" s="342">
        <f t="shared" si="0"/>
        <v>0</v>
      </c>
      <c r="F51" s="343"/>
    </row>
    <row r="52" spans="1:7" ht="18.75" customHeight="1" x14ac:dyDescent="0.3">
      <c r="A52" s="347">
        <v>239201</v>
      </c>
      <c r="B52" s="345" t="s">
        <v>608</v>
      </c>
      <c r="C52" s="340">
        <v>0</v>
      </c>
      <c r="D52" s="341">
        <f>'[4]MODELO DEUDA'!F47</f>
        <v>140650.75</v>
      </c>
      <c r="E52" s="342">
        <f t="shared" si="0"/>
        <v>140650.75</v>
      </c>
      <c r="F52" s="343"/>
    </row>
    <row r="53" spans="1:7" ht="18.75" customHeight="1" x14ac:dyDescent="0.3">
      <c r="A53" s="347">
        <v>239301</v>
      </c>
      <c r="B53" s="345" t="s">
        <v>609</v>
      </c>
      <c r="C53" s="340">
        <f>'[4]MODELO DEUDA'!E9+'[4]MODELO DEUDA'!E25+'[4]MODELO DEUDA'!E59+'[4]MODELO DEUDA'!E61</f>
        <v>3621850.92</v>
      </c>
      <c r="D53" s="341">
        <f>'[4]MODELO DEUDA'!F8+'[4]MODELO DEUDA'!F14+'[4]MODELO DEUDA'!F15+'[4]MODELO DEUDA'!F16+'[4]MODELO DEUDA'!F22+'[4]MODELO DEUDA'!F20+'[4]MODELO DEUDA'!F25+'[4]MODELO DEUDA'!F29+'[4]MODELO DEUDA'!F31+'[4]MODELO DEUDA'!F33+'[4]MODELO DEUDA'!F36+'[4]MODELO DEUDA'!F35+'[4]MODELO DEUDA'!F39+'[4]MODELO DEUDA'!F40+'[4]MODELO DEUDA'!F45+'[4]MODELO DEUDA'!F44+'[4]MODELO DEUDA'!F43+'[4]MODELO DEUDA'!F49+'[4]MODELO DEUDA'!F48+'[4]MODELO DEUDA'!E55+'[4]MODELO DEUDA'!E53+'[4]MODELO DEUDA'!F56+'[4]MODELO DEUDA'!F57+'[4]MODELO DEUDA'!F58+'[4]MODELO DEUDA'!F59+'[4]MODELO DEUDA'!F61+'[4]MODELO DEUDA'!F62+'[4]MODELO DEUDA'!F64+'[4]MODELO DEUDA'!F66</f>
        <v>38401469.989999995</v>
      </c>
      <c r="E53" s="342">
        <f t="shared" si="0"/>
        <v>42023320.909999996</v>
      </c>
      <c r="F53" s="343"/>
      <c r="G53" s="140"/>
    </row>
    <row r="54" spans="1:7" ht="18.75" x14ac:dyDescent="0.3">
      <c r="A54" s="347">
        <v>239501</v>
      </c>
      <c r="B54" s="345" t="s">
        <v>610</v>
      </c>
      <c r="C54" s="340">
        <v>0</v>
      </c>
      <c r="D54" s="341">
        <v>0</v>
      </c>
      <c r="E54" s="342">
        <f t="shared" si="0"/>
        <v>0</v>
      </c>
      <c r="F54" s="343"/>
      <c r="G54" s="140"/>
    </row>
    <row r="55" spans="1:7" ht="18.75" x14ac:dyDescent="0.3">
      <c r="A55" s="347">
        <v>239601</v>
      </c>
      <c r="B55" s="345" t="s">
        <v>270</v>
      </c>
      <c r="C55" s="340">
        <v>0</v>
      </c>
      <c r="D55" s="341">
        <v>0</v>
      </c>
      <c r="E55" s="342">
        <f t="shared" si="0"/>
        <v>0</v>
      </c>
      <c r="F55" s="343"/>
      <c r="G55" s="55"/>
    </row>
    <row r="56" spans="1:7" ht="18.75" x14ac:dyDescent="0.3">
      <c r="A56" s="347">
        <v>239801</v>
      </c>
      <c r="B56" s="345" t="s">
        <v>611</v>
      </c>
      <c r="C56" s="340">
        <v>0</v>
      </c>
      <c r="D56" s="341">
        <f>'[4]MODELO DEUDA'!F12</f>
        <v>619618</v>
      </c>
      <c r="E56" s="342">
        <f t="shared" si="0"/>
        <v>619618</v>
      </c>
      <c r="F56" s="343"/>
      <c r="G56" s="55"/>
    </row>
    <row r="57" spans="1:7" ht="18.75" x14ac:dyDescent="0.3">
      <c r="A57" s="347">
        <v>239802</v>
      </c>
      <c r="B57" s="345" t="s">
        <v>612</v>
      </c>
      <c r="C57" s="340">
        <v>0</v>
      </c>
      <c r="D57" s="341">
        <v>0</v>
      </c>
      <c r="E57" s="342">
        <f t="shared" si="0"/>
        <v>0</v>
      </c>
      <c r="F57" s="343"/>
      <c r="G57" s="307"/>
    </row>
    <row r="58" spans="1:7" ht="18.75" x14ac:dyDescent="0.3">
      <c r="A58" s="347">
        <v>261101</v>
      </c>
      <c r="B58" s="345" t="s">
        <v>254</v>
      </c>
      <c r="C58" s="340">
        <v>0</v>
      </c>
      <c r="D58" s="341">
        <v>0</v>
      </c>
      <c r="E58" s="342">
        <f t="shared" si="0"/>
        <v>0</v>
      </c>
      <c r="F58" s="343"/>
      <c r="G58" s="55"/>
    </row>
    <row r="59" spans="1:7" ht="18.75" x14ac:dyDescent="0.3">
      <c r="A59" s="347">
        <v>261301</v>
      </c>
      <c r="B59" s="345" t="s">
        <v>770</v>
      </c>
      <c r="C59" s="340">
        <v>0</v>
      </c>
      <c r="D59" s="341">
        <f>'[4]MODELO DEUDA'!F54</f>
        <v>100313.97</v>
      </c>
      <c r="E59" s="342">
        <f t="shared" si="0"/>
        <v>100313.97</v>
      </c>
      <c r="F59" s="343"/>
    </row>
    <row r="60" spans="1:7" ht="18.75" x14ac:dyDescent="0.3">
      <c r="A60" s="347">
        <v>261201</v>
      </c>
      <c r="B60" s="345" t="s">
        <v>771</v>
      </c>
      <c r="C60" s="340">
        <v>0</v>
      </c>
      <c r="D60" s="341">
        <v>0</v>
      </c>
      <c r="E60" s="342">
        <f t="shared" si="0"/>
        <v>0</v>
      </c>
      <c r="F60" s="343"/>
    </row>
    <row r="61" spans="1:7" ht="18.75" x14ac:dyDescent="0.3">
      <c r="A61" s="347"/>
      <c r="B61" s="345" t="s">
        <v>613</v>
      </c>
      <c r="C61" s="340">
        <v>0</v>
      </c>
      <c r="D61" s="341">
        <v>0</v>
      </c>
      <c r="E61" s="342">
        <f t="shared" si="0"/>
        <v>0</v>
      </c>
      <c r="F61" s="343"/>
    </row>
    <row r="62" spans="1:7" ht="18.75" x14ac:dyDescent="0.3">
      <c r="A62" s="347">
        <v>263101</v>
      </c>
      <c r="B62" s="345" t="s">
        <v>243</v>
      </c>
      <c r="C62" s="340">
        <v>0</v>
      </c>
      <c r="D62" s="341">
        <v>0</v>
      </c>
      <c r="E62" s="342">
        <f t="shared" si="0"/>
        <v>0</v>
      </c>
      <c r="F62" s="343"/>
    </row>
    <row r="63" spans="1:7" ht="18.75" x14ac:dyDescent="0.3">
      <c r="A63" s="347"/>
      <c r="B63" s="345" t="s">
        <v>242</v>
      </c>
      <c r="C63" s="340">
        <v>0</v>
      </c>
      <c r="D63" s="341">
        <v>0</v>
      </c>
      <c r="E63" s="342">
        <f t="shared" si="0"/>
        <v>0</v>
      </c>
      <c r="F63" s="343"/>
    </row>
    <row r="64" spans="1:7" ht="18.75" x14ac:dyDescent="0.3">
      <c r="A64" s="347"/>
      <c r="B64" s="345" t="s">
        <v>614</v>
      </c>
      <c r="C64" s="340">
        <v>0</v>
      </c>
      <c r="D64" s="341">
        <v>0</v>
      </c>
      <c r="E64" s="342">
        <f t="shared" si="0"/>
        <v>0</v>
      </c>
      <c r="F64" s="343"/>
    </row>
    <row r="65" spans="1:6" ht="18.75" x14ac:dyDescent="0.3">
      <c r="A65" s="347">
        <v>265201</v>
      </c>
      <c r="B65" s="345" t="s">
        <v>228</v>
      </c>
      <c r="C65" s="340">
        <v>0</v>
      </c>
      <c r="D65" s="341">
        <v>0</v>
      </c>
      <c r="E65" s="342">
        <f t="shared" si="0"/>
        <v>0</v>
      </c>
      <c r="F65" s="343"/>
    </row>
    <row r="66" spans="1:6" ht="18.75" x14ac:dyDescent="0.3">
      <c r="A66" s="347">
        <v>265401</v>
      </c>
      <c r="B66" s="345" t="s">
        <v>226</v>
      </c>
      <c r="C66" s="340">
        <v>0</v>
      </c>
      <c r="D66" s="341">
        <v>0</v>
      </c>
      <c r="E66" s="342">
        <f t="shared" si="0"/>
        <v>0</v>
      </c>
      <c r="F66" s="343"/>
    </row>
    <row r="67" spans="1:6" ht="18.75" x14ac:dyDescent="0.3">
      <c r="A67" s="347">
        <v>265501</v>
      </c>
      <c r="B67" s="345" t="s">
        <v>772</v>
      </c>
      <c r="C67" s="340">
        <v>0</v>
      </c>
      <c r="D67" s="341">
        <v>0</v>
      </c>
      <c r="E67" s="342">
        <f t="shared" si="0"/>
        <v>0</v>
      </c>
      <c r="F67" s="343"/>
    </row>
    <row r="68" spans="1:6" ht="18.75" x14ac:dyDescent="0.3">
      <c r="A68" s="347"/>
      <c r="B68" s="345" t="s">
        <v>222</v>
      </c>
      <c r="C68" s="340">
        <v>0</v>
      </c>
      <c r="D68" s="341">
        <v>0</v>
      </c>
      <c r="E68" s="342">
        <f t="shared" si="0"/>
        <v>0</v>
      </c>
      <c r="F68" s="343"/>
    </row>
    <row r="69" spans="1:6" ht="18.75" x14ac:dyDescent="0.3">
      <c r="A69" s="348"/>
      <c r="B69" s="345" t="s">
        <v>190</v>
      </c>
      <c r="C69" s="340">
        <v>0</v>
      </c>
      <c r="D69" s="341">
        <v>0</v>
      </c>
      <c r="E69" s="342">
        <f t="shared" si="0"/>
        <v>0</v>
      </c>
      <c r="F69" s="343"/>
    </row>
    <row r="70" spans="1:6" ht="15.75" x14ac:dyDescent="0.25">
      <c r="A70" s="227"/>
      <c r="B70" s="227" t="s">
        <v>527</v>
      </c>
      <c r="C70" s="349">
        <f>SUM(C8:C69)</f>
        <v>9298150.6600000001</v>
      </c>
      <c r="D70" s="349">
        <f>SUM(D8:D69)</f>
        <v>50632417.809999995</v>
      </c>
      <c r="E70" s="349">
        <f>SUM(E8:E69)</f>
        <v>59930568.469999999</v>
      </c>
      <c r="F70" s="140"/>
    </row>
    <row r="71" spans="1:6" x14ac:dyDescent="0.25">
      <c r="F71" s="55"/>
    </row>
    <row r="72" spans="1:6" x14ac:dyDescent="0.25">
      <c r="C72" s="55"/>
      <c r="D72" s="55"/>
      <c r="E72" s="350"/>
      <c r="F72" s="140"/>
    </row>
    <row r="73" spans="1:6" x14ac:dyDescent="0.25">
      <c r="C73" s="384">
        <v>10141750.66</v>
      </c>
      <c r="D73" s="385">
        <v>49788817.810000002</v>
      </c>
      <c r="E73" s="140" t="s">
        <v>808</v>
      </c>
      <c r="F73" s="55"/>
    </row>
    <row r="74" spans="1:6" x14ac:dyDescent="0.25">
      <c r="C74" s="55"/>
      <c r="D74" s="55"/>
      <c r="E74" s="55" t="s">
        <v>809</v>
      </c>
    </row>
    <row r="75" spans="1:6" x14ac:dyDescent="0.25">
      <c r="C75" s="55"/>
      <c r="D75" s="140"/>
      <c r="E75" s="332" t="s">
        <v>533</v>
      </c>
      <c r="F75" s="55"/>
    </row>
    <row r="76" spans="1:6" x14ac:dyDescent="0.25">
      <c r="C76" s="55"/>
      <c r="D76" s="55"/>
      <c r="E76" s="140" t="s">
        <v>533</v>
      </c>
    </row>
    <row r="77" spans="1:6" x14ac:dyDescent="0.25">
      <c r="C77" s="55"/>
      <c r="E77" s="332" t="s">
        <v>533</v>
      </c>
    </row>
    <row r="78" spans="1:6" x14ac:dyDescent="0.25">
      <c r="E78" s="140" t="s">
        <v>756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CONSOLIDADO INGRESOS Y GTO</vt:lpstr>
      <vt:lpstr>Plantilla Presupuesto</vt:lpstr>
      <vt:lpstr>F100</vt:lpstr>
      <vt:lpstr>OBLIGACIONES</vt:lpstr>
      <vt:lpstr>INGRESOS SEGUN ORIGEN</vt:lpstr>
      <vt:lpstr>CUENTAS X COBRAR</vt:lpstr>
      <vt:lpstr>MODELO DEUDA</vt:lpstr>
      <vt:lpstr>VS</vt:lpstr>
      <vt:lpstr>DEUDA POR OBJETO DEL GTO</vt:lpstr>
      <vt:lpstr>GLOSA</vt:lpstr>
      <vt:lpstr>INGRESOS ARS</vt:lpstr>
      <vt:lpstr>Hoja1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Francisco Villabrille</cp:lastModifiedBy>
  <cp:lastPrinted>2022-01-31T15:11:30Z</cp:lastPrinted>
  <dcterms:created xsi:type="dcterms:W3CDTF">2018-04-17T18:57:16Z</dcterms:created>
  <dcterms:modified xsi:type="dcterms:W3CDTF">2022-01-31T15:11:43Z</dcterms:modified>
</cp:coreProperties>
</file>